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4795" windowHeight="11460"/>
  </bookViews>
  <sheets>
    <sheet name="Reverse Basis" sheetId="1" r:id="rId1"/>
    <sheet name="Forward Basis" sheetId="2" r:id="rId2"/>
    <sheet name="Sheet3" sheetId="3" r:id="rId3"/>
  </sheets>
  <definedNames>
    <definedName name="solver_adj" localSheetId="0" hidden="1">'Reverse Basis'!#REF!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'Reverse Basis'!$H$54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1</definedName>
  </definedNames>
  <calcPr calcId="125725"/>
</workbook>
</file>

<file path=xl/calcChain.xml><?xml version="1.0" encoding="utf-8"?>
<calcChain xmlns="http://schemas.openxmlformats.org/spreadsheetml/2006/main">
  <c r="U16" i="1"/>
  <c r="V16"/>
  <c r="F60" i="2"/>
  <c r="B59"/>
  <c r="B60"/>
  <c r="E60"/>
  <c r="E59"/>
  <c r="B34" i="1"/>
  <c r="B35"/>
  <c r="B36"/>
  <c r="B37"/>
  <c r="B38"/>
  <c r="B39"/>
  <c r="I32" s="1"/>
  <c r="B33"/>
  <c r="B32"/>
  <c r="C32"/>
  <c r="E32"/>
  <c r="I23"/>
  <c r="B44"/>
  <c r="B47" i="2"/>
  <c r="B49"/>
  <c r="B46"/>
  <c r="G61"/>
  <c r="G62"/>
  <c r="G63"/>
  <c r="G64"/>
  <c r="G60"/>
  <c r="F61"/>
  <c r="F62"/>
  <c r="F63"/>
  <c r="F64"/>
  <c r="E61"/>
  <c r="E62"/>
  <c r="E63"/>
  <c r="E64"/>
  <c r="D61"/>
  <c r="D62"/>
  <c r="D63"/>
  <c r="D64"/>
  <c r="D60"/>
  <c r="C61"/>
  <c r="C62"/>
  <c r="C63"/>
  <c r="C64"/>
  <c r="C60"/>
  <c r="R21"/>
  <c r="U21"/>
  <c r="V21"/>
  <c r="X21"/>
  <c r="Y21"/>
  <c r="AA21"/>
  <c r="AB21"/>
  <c r="AD21"/>
  <c r="AE21"/>
  <c r="Q21"/>
  <c r="Z5"/>
  <c r="Z4"/>
  <c r="Y5"/>
  <c r="Y4"/>
  <c r="AB19"/>
  <c r="AB18"/>
  <c r="AA19"/>
  <c r="AA18"/>
  <c r="B61"/>
  <c r="B62"/>
  <c r="B63"/>
  <c r="B64"/>
  <c r="G59"/>
  <c r="F59"/>
  <c r="D59"/>
  <c r="C59"/>
  <c r="G58" i="1"/>
  <c r="G59"/>
  <c r="G60"/>
  <c r="G61"/>
  <c r="G57"/>
  <c r="B58"/>
  <c r="B59"/>
  <c r="B60"/>
  <c r="B61"/>
  <c r="B57"/>
  <c r="M50" i="2"/>
  <c r="L50"/>
  <c r="K50"/>
  <c r="J50"/>
  <c r="I50"/>
  <c r="F51"/>
  <c r="F52"/>
  <c r="F53"/>
  <c r="E51"/>
  <c r="E52"/>
  <c r="E53"/>
  <c r="D51"/>
  <c r="D52"/>
  <c r="D53"/>
  <c r="C51"/>
  <c r="C52"/>
  <c r="C53"/>
  <c r="D16"/>
  <c r="E16" s="1"/>
  <c r="D17"/>
  <c r="F17" s="1"/>
  <c r="D18"/>
  <c r="E18" s="1"/>
  <c r="D19"/>
  <c r="F19" s="1"/>
  <c r="D15"/>
  <c r="F15" s="1"/>
  <c r="C15" l="1"/>
  <c r="F16"/>
  <c r="C16"/>
  <c r="B16" s="1"/>
  <c r="E15"/>
  <c r="C18"/>
  <c r="B18" s="1"/>
  <c r="F18"/>
  <c r="E19"/>
  <c r="E17"/>
  <c r="C19"/>
  <c r="B19" s="1"/>
  <c r="C17"/>
  <c r="B17" s="1"/>
  <c r="B15"/>
  <c r="D20"/>
  <c r="B20" l="1"/>
  <c r="B28"/>
  <c r="B24"/>
  <c r="B25"/>
  <c r="C25" s="1"/>
  <c r="D25" s="1"/>
  <c r="B27"/>
  <c r="C27" s="1"/>
  <c r="D27" s="1"/>
  <c r="B29"/>
  <c r="C29" s="1"/>
  <c r="D29" s="1"/>
  <c r="B31"/>
  <c r="C31" s="1"/>
  <c r="D31" s="1"/>
  <c r="B26"/>
  <c r="B30"/>
  <c r="E20"/>
  <c r="F20"/>
  <c r="C20"/>
  <c r="F31" l="1"/>
  <c r="E31"/>
  <c r="F27"/>
  <c r="E27"/>
  <c r="C24"/>
  <c r="D24" s="1"/>
  <c r="I26"/>
  <c r="J26" s="1"/>
  <c r="K26" s="1"/>
  <c r="L26" s="1"/>
  <c r="M26" s="1"/>
  <c r="I24"/>
  <c r="C26"/>
  <c r="D26" s="1"/>
  <c r="B48"/>
  <c r="B35"/>
  <c r="I25"/>
  <c r="J25" s="1"/>
  <c r="K25" s="1"/>
  <c r="L25" s="1"/>
  <c r="M25" s="1"/>
  <c r="F29"/>
  <c r="E29"/>
  <c r="F25"/>
  <c r="E25"/>
  <c r="C28"/>
  <c r="D28" s="1"/>
  <c r="B50"/>
  <c r="I27"/>
  <c r="J27" s="1"/>
  <c r="K27" s="1"/>
  <c r="L27" s="1"/>
  <c r="M27" s="1"/>
  <c r="C30"/>
  <c r="D30" s="1"/>
  <c r="I28"/>
  <c r="J28" s="1"/>
  <c r="K28" s="1"/>
  <c r="L28" s="1"/>
  <c r="M28" s="1"/>
  <c r="B32"/>
  <c r="C32" l="1"/>
  <c r="C35"/>
  <c r="D35" s="1"/>
  <c r="E35" s="1"/>
  <c r="F35" s="1"/>
  <c r="I35"/>
  <c r="I36"/>
  <c r="J36" s="1"/>
  <c r="K36" s="1"/>
  <c r="L36" s="1"/>
  <c r="M36" s="1"/>
  <c r="E26"/>
  <c r="F26"/>
  <c r="C46"/>
  <c r="C49"/>
  <c r="D49" s="1"/>
  <c r="E49" s="1"/>
  <c r="F49" s="1"/>
  <c r="C47"/>
  <c r="D47" s="1"/>
  <c r="E47" s="1"/>
  <c r="F47" s="1"/>
  <c r="E30"/>
  <c r="F30"/>
  <c r="C50"/>
  <c r="D50" s="1"/>
  <c r="E50" s="1"/>
  <c r="F50" s="1"/>
  <c r="I49"/>
  <c r="J49" s="1"/>
  <c r="K49" s="1"/>
  <c r="L49" s="1"/>
  <c r="M49" s="1"/>
  <c r="C48"/>
  <c r="D48" s="1"/>
  <c r="E48" s="1"/>
  <c r="F48" s="1"/>
  <c r="J24"/>
  <c r="I29"/>
  <c r="D32"/>
  <c r="F24"/>
  <c r="E24"/>
  <c r="B40"/>
  <c r="F28"/>
  <c r="E28"/>
  <c r="X16" i="1"/>
  <c r="X17"/>
  <c r="X18"/>
  <c r="X19"/>
  <c r="X20"/>
  <c r="Y21"/>
  <c r="E9"/>
  <c r="E11"/>
  <c r="E10"/>
  <c r="U12"/>
  <c r="B18"/>
  <c r="I17" s="1"/>
  <c r="B15"/>
  <c r="B16"/>
  <c r="B17"/>
  <c r="E32" i="2" l="1"/>
  <c r="I47"/>
  <c r="J47" s="1"/>
  <c r="K47" s="1"/>
  <c r="L47" s="1"/>
  <c r="M47" s="1"/>
  <c r="B54"/>
  <c r="I48"/>
  <c r="J48" s="1"/>
  <c r="K48" s="1"/>
  <c r="L48" s="1"/>
  <c r="M48" s="1"/>
  <c r="J29"/>
  <c r="K24"/>
  <c r="I40"/>
  <c r="C40"/>
  <c r="F32"/>
  <c r="I46"/>
  <c r="D46"/>
  <c r="C54"/>
  <c r="I37"/>
  <c r="J35"/>
  <c r="I15" i="1"/>
  <c r="X21"/>
  <c r="J17"/>
  <c r="K17" s="1"/>
  <c r="M17" s="1"/>
  <c r="J15"/>
  <c r="K15" s="1"/>
  <c r="M15" s="1"/>
  <c r="Q4"/>
  <c r="E8"/>
  <c r="C18" s="1"/>
  <c r="D18" s="1"/>
  <c r="E7"/>
  <c r="C17" s="1"/>
  <c r="D17" s="1"/>
  <c r="E6"/>
  <c r="E5"/>
  <c r="E4"/>
  <c r="K35" i="2" l="1"/>
  <c r="J37"/>
  <c r="I51"/>
  <c r="J46"/>
  <c r="C41"/>
  <c r="D40"/>
  <c r="E40" s="1"/>
  <c r="F40" s="1"/>
  <c r="K29"/>
  <c r="L24"/>
  <c r="D54"/>
  <c r="E46"/>
  <c r="J40"/>
  <c r="B14" i="1"/>
  <c r="I14" s="1"/>
  <c r="C14"/>
  <c r="J23"/>
  <c r="Q12"/>
  <c r="L15"/>
  <c r="L17"/>
  <c r="V7"/>
  <c r="V9"/>
  <c r="V8"/>
  <c r="V10"/>
  <c r="V4"/>
  <c r="C16"/>
  <c r="D16" s="1"/>
  <c r="V6"/>
  <c r="V5"/>
  <c r="C15"/>
  <c r="D15" s="1"/>
  <c r="V11"/>
  <c r="K40" i="2" l="1"/>
  <c r="F46"/>
  <c r="F54" s="1"/>
  <c r="E54"/>
  <c r="K46"/>
  <c r="J51"/>
  <c r="B41"/>
  <c r="B42" s="1"/>
  <c r="I41" s="1"/>
  <c r="D41"/>
  <c r="C42"/>
  <c r="K37"/>
  <c r="L35"/>
  <c r="M24"/>
  <c r="M29" s="1"/>
  <c r="L29"/>
  <c r="I28" i="1"/>
  <c r="I16"/>
  <c r="J16" s="1"/>
  <c r="K16" s="1"/>
  <c r="M16" s="1"/>
  <c r="B19"/>
  <c r="D14"/>
  <c r="C19"/>
  <c r="D19" s="1"/>
  <c r="R5" s="1"/>
  <c r="V12"/>
  <c r="E16"/>
  <c r="F16"/>
  <c r="E41" i="2" l="1"/>
  <c r="D42"/>
  <c r="M35"/>
  <c r="M37" s="1"/>
  <c r="L37"/>
  <c r="J41"/>
  <c r="I42"/>
  <c r="K51"/>
  <c r="L46"/>
  <c r="L40"/>
  <c r="C33" i="1"/>
  <c r="D33" s="1"/>
  <c r="I24"/>
  <c r="J24" s="1"/>
  <c r="I25"/>
  <c r="J25" s="1"/>
  <c r="I27"/>
  <c r="J27" s="1"/>
  <c r="I26"/>
  <c r="J26" s="1"/>
  <c r="C39"/>
  <c r="D39" s="1"/>
  <c r="I19"/>
  <c r="Q16"/>
  <c r="Q19"/>
  <c r="Q17"/>
  <c r="Q18"/>
  <c r="E14"/>
  <c r="R4"/>
  <c r="R6"/>
  <c r="R7"/>
  <c r="R10"/>
  <c r="R8"/>
  <c r="R11"/>
  <c r="J14"/>
  <c r="L16"/>
  <c r="E17"/>
  <c r="F17"/>
  <c r="F14"/>
  <c r="E18"/>
  <c r="F18"/>
  <c r="F15"/>
  <c r="E15"/>
  <c r="M46" i="2" l="1"/>
  <c r="M51" s="1"/>
  <c r="L51"/>
  <c r="M40"/>
  <c r="K41"/>
  <c r="J42"/>
  <c r="F41"/>
  <c r="F42" s="1"/>
  <c r="E42"/>
  <c r="C34" i="1"/>
  <c r="D34" s="1"/>
  <c r="F33"/>
  <c r="E33"/>
  <c r="E39"/>
  <c r="F39"/>
  <c r="D32"/>
  <c r="F32" s="1"/>
  <c r="Q21"/>
  <c r="R20"/>
  <c r="R16"/>
  <c r="R17"/>
  <c r="R18"/>
  <c r="R19"/>
  <c r="K23"/>
  <c r="K14"/>
  <c r="J19"/>
  <c r="R12"/>
  <c r="E19"/>
  <c r="F19"/>
  <c r="J32" l="1"/>
  <c r="L41" i="2"/>
  <c r="K42"/>
  <c r="B40" i="1"/>
  <c r="C37"/>
  <c r="D37" s="1"/>
  <c r="I34"/>
  <c r="F34"/>
  <c r="E34"/>
  <c r="M14"/>
  <c r="L14"/>
  <c r="C38"/>
  <c r="D38" s="1"/>
  <c r="I36"/>
  <c r="J36" s="1"/>
  <c r="K36" s="1"/>
  <c r="C35"/>
  <c r="I33"/>
  <c r="I35"/>
  <c r="J35" s="1"/>
  <c r="K35" s="1"/>
  <c r="C36"/>
  <c r="D36" s="1"/>
  <c r="L23"/>
  <c r="M23"/>
  <c r="K19"/>
  <c r="M19"/>
  <c r="L19"/>
  <c r="G56" s="1"/>
  <c r="R21"/>
  <c r="K24"/>
  <c r="K25"/>
  <c r="K32" l="1"/>
  <c r="M41" i="2"/>
  <c r="M42" s="1"/>
  <c r="L42"/>
  <c r="I45" i="1"/>
  <c r="I44"/>
  <c r="F36"/>
  <c r="E36"/>
  <c r="C44"/>
  <c r="D44" s="1"/>
  <c r="B50"/>
  <c r="I50" s="1"/>
  <c r="D35"/>
  <c r="C40"/>
  <c r="F38"/>
  <c r="E38"/>
  <c r="F37"/>
  <c r="E37"/>
  <c r="I37"/>
  <c r="J33"/>
  <c r="J34"/>
  <c r="K34" s="1"/>
  <c r="L24"/>
  <c r="M24"/>
  <c r="L25"/>
  <c r="M25"/>
  <c r="M35"/>
  <c r="L35"/>
  <c r="M36"/>
  <c r="L36"/>
  <c r="K26"/>
  <c r="K27"/>
  <c r="U17" l="1"/>
  <c r="L32"/>
  <c r="M32"/>
  <c r="J44"/>
  <c r="J45"/>
  <c r="K45" s="1"/>
  <c r="J50"/>
  <c r="U18"/>
  <c r="U20"/>
  <c r="I46"/>
  <c r="AD17" s="1"/>
  <c r="K33"/>
  <c r="J37"/>
  <c r="E44"/>
  <c r="C56" s="1"/>
  <c r="F44"/>
  <c r="E35"/>
  <c r="E40" s="1"/>
  <c r="F56" s="1"/>
  <c r="F35"/>
  <c r="F40" s="1"/>
  <c r="D40"/>
  <c r="L34"/>
  <c r="M34"/>
  <c r="U19"/>
  <c r="C50"/>
  <c r="L27"/>
  <c r="M27"/>
  <c r="L26"/>
  <c r="L28" s="1"/>
  <c r="B56" s="1"/>
  <c r="M26"/>
  <c r="K28"/>
  <c r="J28"/>
  <c r="F57" l="1"/>
  <c r="C60"/>
  <c r="C57"/>
  <c r="C61"/>
  <c r="M45"/>
  <c r="L45"/>
  <c r="AD18"/>
  <c r="J46"/>
  <c r="K44"/>
  <c r="K50"/>
  <c r="U21"/>
  <c r="D50"/>
  <c r="C51"/>
  <c r="M33"/>
  <c r="M37" s="1"/>
  <c r="K37"/>
  <c r="L33"/>
  <c r="L37" s="1"/>
  <c r="V19"/>
  <c r="F60" s="1"/>
  <c r="V18"/>
  <c r="F59" s="1"/>
  <c r="V20"/>
  <c r="F61" s="1"/>
  <c r="V17"/>
  <c r="F58" s="1"/>
  <c r="M28"/>
  <c r="L44" l="1"/>
  <c r="L46" s="1"/>
  <c r="M44"/>
  <c r="M46" s="1"/>
  <c r="K46"/>
  <c r="AE18" s="1"/>
  <c r="C59" s="1"/>
  <c r="M50"/>
  <c r="L50"/>
  <c r="E50"/>
  <c r="E51" s="1"/>
  <c r="F50"/>
  <c r="F51" s="1"/>
  <c r="F52" s="1"/>
  <c r="D51"/>
  <c r="D52" s="1"/>
  <c r="Z5" s="1"/>
  <c r="C52"/>
  <c r="B51"/>
  <c r="V21"/>
  <c r="AE17" l="1"/>
  <c r="C58" s="1"/>
  <c r="Z4"/>
  <c r="B52"/>
  <c r="Y4"/>
  <c r="E52"/>
  <c r="D56"/>
  <c r="D58" l="1"/>
  <c r="D60"/>
  <c r="E60" s="1"/>
  <c r="D57"/>
  <c r="E57" s="1"/>
  <c r="D59"/>
  <c r="E59" s="1"/>
  <c r="D61"/>
  <c r="E61" s="1"/>
  <c r="E58"/>
  <c r="I51"/>
  <c r="Y5"/>
  <c r="E56"/>
  <c r="I52" l="1"/>
  <c r="AA18" s="1"/>
  <c r="J51"/>
  <c r="AA19"/>
  <c r="K51" l="1"/>
  <c r="J52"/>
  <c r="AA21"/>
  <c r="M51" l="1"/>
  <c r="M52" s="1"/>
  <c r="L51"/>
  <c r="L52" s="1"/>
  <c r="K52"/>
  <c r="AB18" s="1"/>
  <c r="AB19" l="1"/>
  <c r="AB21" s="1"/>
</calcChain>
</file>

<file path=xl/sharedStrings.xml><?xml version="1.0" encoding="utf-8"?>
<sst xmlns="http://schemas.openxmlformats.org/spreadsheetml/2006/main" count="387" uniqueCount="78">
  <si>
    <t>C</t>
  </si>
  <si>
    <t>Elemental MW (g/mol)</t>
  </si>
  <si>
    <t>H</t>
  </si>
  <si>
    <t>O</t>
  </si>
  <si>
    <t>N</t>
  </si>
  <si>
    <t>S</t>
  </si>
  <si>
    <t>Componet MW (g/mol)</t>
  </si>
  <si>
    <t>CO</t>
  </si>
  <si>
    <t>CO2</t>
  </si>
  <si>
    <t>CH4</t>
  </si>
  <si>
    <t>H2</t>
  </si>
  <si>
    <t>N2</t>
  </si>
  <si>
    <t>Metric Tons/day</t>
  </si>
  <si>
    <t>Bar</t>
  </si>
  <si>
    <t>Total</t>
  </si>
  <si>
    <t>Moles/day</t>
  </si>
  <si>
    <t>Moles/     day</t>
  </si>
  <si>
    <t>Grams/    day</t>
  </si>
  <si>
    <t>Metric tons/day</t>
  </si>
  <si>
    <t>Tons/day</t>
  </si>
  <si>
    <t>Grams/day</t>
  </si>
  <si>
    <t>Lbs/day</t>
  </si>
  <si>
    <t>H2O</t>
  </si>
  <si>
    <t>H2S</t>
  </si>
  <si>
    <t>COS</t>
  </si>
  <si>
    <t>Mass</t>
  </si>
  <si>
    <t xml:space="preserve">FINAL SYNGAS </t>
  </si>
  <si>
    <t>COMPONENTS FRACTIONS</t>
  </si>
  <si>
    <t xml:space="preserve">Molar </t>
  </si>
  <si>
    <t>RAW SYNGAS</t>
  </si>
  <si>
    <t>*</t>
  </si>
  <si>
    <t>**</t>
  </si>
  <si>
    <t>PETCOKE</t>
  </si>
  <si>
    <t>ELEMENTAL FRACTIONS</t>
  </si>
  <si>
    <t>Chemical Production  Reqs</t>
  </si>
  <si>
    <t xml:space="preserve">Basis:  </t>
  </si>
  <si>
    <t>grams/day</t>
  </si>
  <si>
    <t>Petcoke Elemental Flow</t>
  </si>
  <si>
    <t>Final Syn Component Flow</t>
  </si>
  <si>
    <t>***</t>
  </si>
  <si>
    <t>Total Petcoke</t>
  </si>
  <si>
    <t>Raw Syngas   Component    Flow</t>
  </si>
  <si>
    <t>Raw Syngas  Elemental Flow</t>
  </si>
  <si>
    <t>Specified by production group ( can vary)</t>
  </si>
  <si>
    <t>Specificed by  literature reviews for typical operation (can vary)</t>
  </si>
  <si>
    <t>Specified by literature review for typical composition (can vary)</t>
  </si>
  <si>
    <t>Assumptions:</t>
  </si>
  <si>
    <t xml:space="preserve">2) All sulfur compounds are assumed to be removed </t>
  </si>
  <si>
    <t>MOLES OF FINAL SYNGAS ( solved in order to produce 3000 M.Tons of final syngas)</t>
  </si>
  <si>
    <t>1) Lost carbons are entire CO2 , COS and fudge factor of .0009 molar fraction pcoke carbons are lost between raw syn and final syn</t>
  </si>
  <si>
    <t>Grams/Day</t>
  </si>
  <si>
    <t>Petcoke</t>
  </si>
  <si>
    <t>Mass Flow (Tons/day)</t>
  </si>
  <si>
    <t>Steam</t>
  </si>
  <si>
    <t>O2/N2</t>
  </si>
  <si>
    <t>Final Syngas</t>
  </si>
  <si>
    <t>Raw Syngas</t>
  </si>
  <si>
    <t>Total IN</t>
  </si>
  <si>
    <t>Mole/day</t>
  </si>
  <si>
    <t>Basis:</t>
  </si>
  <si>
    <t>Metric Tons/day of Pet Coke</t>
  </si>
  <si>
    <t>Raw Syngas   Elemental   Flow</t>
  </si>
  <si>
    <t>O2</t>
  </si>
  <si>
    <t>Steam Component Flow</t>
  </si>
  <si>
    <t>Steam Elemental Flow</t>
  </si>
  <si>
    <t>O2(95w%)/N2 Component Flow</t>
  </si>
  <si>
    <t>O2(95w%)/   N2     Elemental Flow</t>
  </si>
  <si>
    <t>Final Syngas Component Flow</t>
  </si>
  <si>
    <t xml:space="preserve">Final Syngas  Element Flow </t>
  </si>
  <si>
    <t>Petcoke Composition Flow Is not a possible criteria</t>
  </si>
  <si>
    <t>ASU</t>
  </si>
  <si>
    <t>CHECK WORK:</t>
  </si>
  <si>
    <t>Total Flow</t>
  </si>
  <si>
    <t>Mass Flow (Metric Tons/day)</t>
  </si>
  <si>
    <t>CO2*</t>
  </si>
  <si>
    <t>H2*</t>
  </si>
  <si>
    <t xml:space="preserve">more comes out cause water added </t>
  </si>
  <si>
    <t>Diffrence due to coal raw syngas composition vs petcoke composition</t>
  </si>
</sst>
</file>

<file path=xl/styles.xml><?xml version="1.0" encoding="utf-8"?>
<styleSheet xmlns="http://schemas.openxmlformats.org/spreadsheetml/2006/main">
  <numFmts count="1">
    <numFmt numFmtId="164" formatCode="0.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0" fillId="0" borderId="0" xfId="0" applyBorder="1"/>
    <xf numFmtId="0" fontId="0" fillId="0" borderId="0" xfId="0" applyAlignment="1">
      <alignment vertical="top"/>
    </xf>
    <xf numFmtId="0" fontId="0" fillId="2" borderId="0" xfId="0" applyFont="1" applyFill="1" applyAlignment="1">
      <alignment wrapText="1"/>
    </xf>
    <xf numFmtId="0" fontId="1" fillId="2" borderId="0" xfId="0" applyFont="1" applyFill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4" xfId="0" applyBorder="1"/>
    <xf numFmtId="0" fontId="1" fillId="0" borderId="0" xfId="0" applyFont="1" applyBorder="1" applyAlignment="1">
      <alignment horizontal="center"/>
    </xf>
    <xf numFmtId="0" fontId="0" fillId="0" borderId="5" xfId="0" applyBorder="1"/>
    <xf numFmtId="0" fontId="0" fillId="0" borderId="8" xfId="0" applyBorder="1"/>
    <xf numFmtId="0" fontId="0" fillId="0" borderId="7" xfId="0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0" fillId="0" borderId="3" xfId="0" applyBorder="1"/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0" xfId="0" applyBorder="1" applyAlignment="1">
      <alignment horizontal="left"/>
    </xf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  <xf numFmtId="0" fontId="1" fillId="3" borderId="0" xfId="0" applyFont="1" applyFill="1" applyBorder="1"/>
    <xf numFmtId="0" fontId="0" fillId="0" borderId="2" xfId="0" applyBorder="1"/>
    <xf numFmtId="0" fontId="0" fillId="0" borderId="6" xfId="0" applyBorder="1"/>
    <xf numFmtId="0" fontId="0" fillId="0" borderId="7" xfId="0" applyFill="1" applyBorder="1"/>
    <xf numFmtId="0" fontId="0" fillId="2" borderId="0" xfId="0" applyFill="1"/>
    <xf numFmtId="1" fontId="0" fillId="0" borderId="0" xfId="0" applyNumberFormat="1"/>
    <xf numFmtId="164" fontId="0" fillId="0" borderId="0" xfId="0" applyNumberFormat="1"/>
    <xf numFmtId="1" fontId="1" fillId="0" borderId="0" xfId="0" applyNumberFormat="1" applyFont="1"/>
    <xf numFmtId="1" fontId="0" fillId="3" borderId="0" xfId="0" applyNumberFormat="1" applyFill="1"/>
    <xf numFmtId="0" fontId="4" fillId="0" borderId="0" xfId="0" applyFont="1" applyAlignment="1">
      <alignment vertical="top" wrapText="1"/>
    </xf>
    <xf numFmtId="164" fontId="0" fillId="0" borderId="0" xfId="0" applyNumberFormat="1" applyFont="1" applyBorder="1"/>
    <xf numFmtId="164" fontId="0" fillId="0" borderId="0" xfId="0" applyNumberFormat="1" applyFont="1" applyFill="1" applyBorder="1"/>
    <xf numFmtId="164" fontId="0" fillId="0" borderId="0" xfId="0" applyNumberFormat="1" applyBorder="1"/>
    <xf numFmtId="0" fontId="1" fillId="0" borderId="0" xfId="0" applyFont="1" applyAlignment="1">
      <alignment vertical="top" wrapText="1"/>
    </xf>
    <xf numFmtId="0" fontId="0" fillId="3" borderId="0" xfId="0" applyFill="1"/>
    <xf numFmtId="0" fontId="4" fillId="0" borderId="0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Fill="1"/>
    <xf numFmtId="1" fontId="0" fillId="4" borderId="0" xfId="0" applyNumberForma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4"/>
  <sheetViews>
    <sheetView tabSelected="1" zoomScale="81" zoomScaleNormal="81" workbookViewId="0">
      <selection activeCell="I61" sqref="I61"/>
    </sheetView>
  </sheetViews>
  <sheetFormatPr defaultRowHeight="15"/>
  <cols>
    <col min="1" max="1" width="13" customWidth="1"/>
    <col min="2" max="3" width="11.5703125" customWidth="1"/>
    <col min="4" max="4" width="12.140625" customWidth="1"/>
    <col min="5" max="5" width="11.28515625" customWidth="1"/>
    <col min="6" max="6" width="12.140625" customWidth="1"/>
    <col min="7" max="7" width="12.42578125" customWidth="1"/>
    <col min="8" max="8" width="13.140625" customWidth="1"/>
    <col min="9" max="9" width="12.42578125" customWidth="1"/>
    <col min="10" max="10" width="12.140625" customWidth="1"/>
    <col min="11" max="11" width="9.85546875" customWidth="1"/>
    <col min="12" max="12" width="10.42578125" customWidth="1"/>
    <col min="13" max="13" width="11.5703125" bestFit="1" customWidth="1"/>
    <col min="15" max="15" width="10.140625" customWidth="1"/>
    <col min="16" max="16" width="10.5703125" customWidth="1"/>
    <col min="17" max="17" width="10.85546875" customWidth="1"/>
  </cols>
  <sheetData>
    <row r="1" spans="1:31" ht="15.75">
      <c r="A1" s="4" t="s">
        <v>34</v>
      </c>
      <c r="B1" s="4"/>
      <c r="C1" s="4"/>
      <c r="D1" s="4">
        <v>260</v>
      </c>
      <c r="E1" s="4" t="s">
        <v>0</v>
      </c>
      <c r="Q1" s="9" t="s">
        <v>27</v>
      </c>
      <c r="R1" s="9"/>
    </row>
    <row r="2" spans="1:31">
      <c r="A2" s="25">
        <v>3000</v>
      </c>
      <c r="B2" s="4" t="s">
        <v>12</v>
      </c>
      <c r="C2" s="4"/>
      <c r="D2" s="4">
        <v>50</v>
      </c>
      <c r="E2" s="4" t="s">
        <v>13</v>
      </c>
      <c r="P2" s="4"/>
      <c r="Q2" s="20" t="s">
        <v>26</v>
      </c>
      <c r="R2" s="24"/>
      <c r="S2" s="4"/>
      <c r="T2" s="4"/>
      <c r="U2" s="20" t="s">
        <v>29</v>
      </c>
      <c r="V2" s="22"/>
      <c r="X2" s="8" t="s">
        <v>70</v>
      </c>
      <c r="Y2" s="8"/>
    </row>
    <row r="3" spans="1:31">
      <c r="A3" s="10" t="s">
        <v>1</v>
      </c>
      <c r="B3" s="26"/>
      <c r="C3" s="26"/>
      <c r="D3" s="26" t="s">
        <v>6</v>
      </c>
      <c r="E3" s="19"/>
      <c r="P3" s="4" t="s">
        <v>30</v>
      </c>
      <c r="Q3" s="12" t="s">
        <v>28</v>
      </c>
      <c r="R3" s="16" t="s">
        <v>25</v>
      </c>
      <c r="S3" s="4"/>
      <c r="T3" s="4" t="s">
        <v>31</v>
      </c>
      <c r="U3" s="12" t="s">
        <v>28</v>
      </c>
      <c r="V3" s="23" t="s">
        <v>25</v>
      </c>
      <c r="Y3" s="12" t="s">
        <v>28</v>
      </c>
      <c r="Z3" s="16" t="s">
        <v>25</v>
      </c>
    </row>
    <row r="4" spans="1:31">
      <c r="A4" s="11" t="s">
        <v>0</v>
      </c>
      <c r="B4" s="4">
        <v>12.010999999999999</v>
      </c>
      <c r="C4" s="4">
        <v>12.010999999999999</v>
      </c>
      <c r="D4" s="4" t="s">
        <v>7</v>
      </c>
      <c r="E4" s="13">
        <f>B4+B6</f>
        <v>28.009999999999998</v>
      </c>
      <c r="P4" s="16" t="s">
        <v>7</v>
      </c>
      <c r="Q4" s="35">
        <f>0.2786</f>
        <v>0.27860000000000001</v>
      </c>
      <c r="R4" s="35">
        <f>D14/$D$19</f>
        <v>0.7172549986869603</v>
      </c>
      <c r="S4" s="4"/>
      <c r="T4" s="16" t="s">
        <v>7</v>
      </c>
      <c r="U4" s="37">
        <v>0.62630000000000008</v>
      </c>
      <c r="V4" s="37">
        <f t="shared" ref="V4:V11" si="0">(E4*U4)/(($E$4*$U$4)+($E$5*$U$5)+($E$6*$U$6)+($E$7*$U$7)+($E$8*$U$8)+($E$9*$U$9)+($E$10*$U$10)+($E$11*$U$11))</f>
        <v>0.82400713647572066</v>
      </c>
      <c r="X4" t="s">
        <v>62</v>
      </c>
      <c r="Y4">
        <f>B50/B51</f>
        <v>0.94329250138233189</v>
      </c>
      <c r="Z4">
        <f>D50/D51</f>
        <v>0.95000000000000007</v>
      </c>
    </row>
    <row r="5" spans="1:31">
      <c r="A5" s="11" t="s">
        <v>2</v>
      </c>
      <c r="B5" s="4">
        <v>1.0079</v>
      </c>
      <c r="C5" s="4">
        <v>1.0079</v>
      </c>
      <c r="D5" s="4" t="s">
        <v>8</v>
      </c>
      <c r="E5" s="13">
        <f>B4+(2*B6)</f>
        <v>44.009</v>
      </c>
      <c r="P5" s="16" t="s">
        <v>8</v>
      </c>
      <c r="Q5" s="35">
        <v>3.5200000000000002E-2</v>
      </c>
      <c r="R5" s="35">
        <f>D15/$D$19</f>
        <v>0.14238476622798138</v>
      </c>
      <c r="S5" s="4"/>
      <c r="T5" s="16" t="s">
        <v>8</v>
      </c>
      <c r="U5" s="37">
        <v>2.1700000000000001E-2</v>
      </c>
      <c r="V5" s="37">
        <f t="shared" si="0"/>
        <v>4.4857667419180985E-2</v>
      </c>
      <c r="X5" t="s">
        <v>11</v>
      </c>
      <c r="Y5">
        <f>B52/B51</f>
        <v>5.6707498617668085E-2</v>
      </c>
      <c r="Z5">
        <f>D52/D51</f>
        <v>4.9999999999999899E-2</v>
      </c>
    </row>
    <row r="6" spans="1:31">
      <c r="A6" s="11" t="s">
        <v>3</v>
      </c>
      <c r="B6" s="4">
        <v>15.999000000000001</v>
      </c>
      <c r="C6" s="4">
        <v>15.999000000000001</v>
      </c>
      <c r="D6" s="4" t="s">
        <v>9</v>
      </c>
      <c r="E6" s="13">
        <f>B4+(4*B5)</f>
        <v>16.0426</v>
      </c>
      <c r="P6" s="16" t="s">
        <v>9</v>
      </c>
      <c r="Q6" s="35">
        <v>2.0999999999999999E-3</v>
      </c>
      <c r="R6" s="35">
        <f>D16/$D$19</f>
        <v>3.096516599940642E-3</v>
      </c>
      <c r="S6" s="4"/>
      <c r="T6" s="16" t="s">
        <v>9</v>
      </c>
      <c r="U6" s="37">
        <v>8.9999999999999998E-4</v>
      </c>
      <c r="V6" s="37">
        <f t="shared" si="0"/>
        <v>6.7819208513911797E-4</v>
      </c>
    </row>
    <row r="7" spans="1:31">
      <c r="A7" s="11" t="s">
        <v>4</v>
      </c>
      <c r="B7" s="4">
        <v>14.007</v>
      </c>
      <c r="C7" s="4">
        <v>14.007</v>
      </c>
      <c r="D7" s="4" t="s">
        <v>10</v>
      </c>
      <c r="E7" s="13">
        <f>2*B5</f>
        <v>2.0158</v>
      </c>
      <c r="P7" s="16" t="s">
        <v>10</v>
      </c>
      <c r="Q7" s="35">
        <v>0.67969999999999997</v>
      </c>
      <c r="R7" s="35">
        <f>D17/$D$19</f>
        <v>0.12593431188331272</v>
      </c>
      <c r="S7" s="4"/>
      <c r="T7" s="16" t="s">
        <v>10</v>
      </c>
      <c r="U7" s="37">
        <v>0.26140000000000002</v>
      </c>
      <c r="V7" s="37">
        <f t="shared" si="0"/>
        <v>2.4750756444674782E-2</v>
      </c>
    </row>
    <row r="8" spans="1:31">
      <c r="A8" s="11" t="s">
        <v>5</v>
      </c>
      <c r="B8" s="4">
        <v>32.066000000000003</v>
      </c>
      <c r="C8" s="4">
        <v>32.066000000000003</v>
      </c>
      <c r="D8" s="4" t="s">
        <v>11</v>
      </c>
      <c r="E8" s="13">
        <f>2*B7</f>
        <v>28.013999999999999</v>
      </c>
      <c r="P8" s="16" t="s">
        <v>11</v>
      </c>
      <c r="Q8" s="35">
        <v>4.4000000000000003E-3</v>
      </c>
      <c r="R8" s="35">
        <f>D18/$D$19</f>
        <v>1.1329406601804945E-2</v>
      </c>
      <c r="S8" s="4"/>
      <c r="T8" s="16" t="s">
        <v>11</v>
      </c>
      <c r="U8" s="37">
        <v>4.9400000000000006E-2</v>
      </c>
      <c r="V8" s="37">
        <f t="shared" si="0"/>
        <v>6.5003617438743666E-2</v>
      </c>
    </row>
    <row r="9" spans="1:31">
      <c r="A9" s="11"/>
      <c r="B9" s="4"/>
      <c r="C9" s="4"/>
      <c r="D9" s="18" t="s">
        <v>22</v>
      </c>
      <c r="E9" s="13">
        <f>(2*B5)+B6</f>
        <v>18.014800000000001</v>
      </c>
      <c r="P9" s="16" t="s">
        <v>22</v>
      </c>
      <c r="Q9" s="36">
        <v>0</v>
      </c>
      <c r="R9" s="35">
        <v>0</v>
      </c>
      <c r="S9" s="4"/>
      <c r="T9" s="16" t="s">
        <v>22</v>
      </c>
      <c r="U9" s="37">
        <v>3.2199999999999999E-2</v>
      </c>
      <c r="V9" s="37">
        <f t="shared" si="0"/>
        <v>2.7247130332623194E-2</v>
      </c>
    </row>
    <row r="10" spans="1:31">
      <c r="A10" s="11"/>
      <c r="B10" s="4"/>
      <c r="C10" s="4"/>
      <c r="D10" s="18" t="s">
        <v>23</v>
      </c>
      <c r="E10" s="13">
        <f>(2*B5)+B8</f>
        <v>34.081800000000001</v>
      </c>
      <c r="P10" s="16" t="s">
        <v>23</v>
      </c>
      <c r="Q10" s="36">
        <v>0</v>
      </c>
      <c r="R10" s="35">
        <f>C20/$D$19</f>
        <v>0</v>
      </c>
      <c r="S10" s="4"/>
      <c r="T10" s="16" t="s">
        <v>23</v>
      </c>
      <c r="U10" s="37">
        <v>7.7000000000000002E-3</v>
      </c>
      <c r="V10" s="37">
        <f t="shared" si="0"/>
        <v>1.232675321097625E-2</v>
      </c>
    </row>
    <row r="11" spans="1:31">
      <c r="A11" s="27"/>
      <c r="B11" s="15"/>
      <c r="C11" s="15"/>
      <c r="D11" s="28" t="s">
        <v>24</v>
      </c>
      <c r="E11" s="14">
        <f>B4+B6+B8</f>
        <v>60.076000000000001</v>
      </c>
      <c r="P11" s="16" t="s">
        <v>24</v>
      </c>
      <c r="Q11" s="36">
        <v>0</v>
      </c>
      <c r="R11" s="35">
        <f>C21/$D$19</f>
        <v>0</v>
      </c>
      <c r="S11" s="4"/>
      <c r="T11" s="16" t="s">
        <v>24</v>
      </c>
      <c r="U11" s="37">
        <v>4.0000000000000002E-4</v>
      </c>
      <c r="V11" s="37">
        <f t="shared" si="0"/>
        <v>1.1287465929412288E-3</v>
      </c>
    </row>
    <row r="12" spans="1:31">
      <c r="A12" s="7" t="s">
        <v>35</v>
      </c>
      <c r="B12" s="6">
        <v>275740537.150949</v>
      </c>
      <c r="C12" s="29" t="s">
        <v>48</v>
      </c>
      <c r="D12" s="29"/>
      <c r="E12" s="29"/>
      <c r="F12" s="29"/>
      <c r="G12" s="29"/>
      <c r="H12" s="29"/>
      <c r="P12" s="17" t="s">
        <v>14</v>
      </c>
      <c r="Q12" s="37">
        <f>SUM(Q4:Q11)</f>
        <v>1</v>
      </c>
      <c r="R12" s="36">
        <f>SUM(R4:R11)</f>
        <v>0.99999999999999989</v>
      </c>
      <c r="S12" s="4"/>
      <c r="T12" s="17" t="s">
        <v>14</v>
      </c>
      <c r="U12" s="37">
        <f>SUM(U4:U11)</f>
        <v>1.0000000000000002</v>
      </c>
      <c r="V12" s="37">
        <f>SUM(V4:V11)</f>
        <v>0.99999999999999967</v>
      </c>
      <c r="W12" s="37"/>
      <c r="X12" s="37"/>
      <c r="Y12" s="37"/>
    </row>
    <row r="13" spans="1:31" ht="47.25">
      <c r="A13" s="34" t="s">
        <v>67</v>
      </c>
      <c r="B13" s="3" t="s">
        <v>15</v>
      </c>
      <c r="C13" s="3" t="s">
        <v>20</v>
      </c>
      <c r="D13" s="3" t="s">
        <v>18</v>
      </c>
      <c r="E13" s="5" t="s">
        <v>19</v>
      </c>
      <c r="F13" s="5" t="s">
        <v>21</v>
      </c>
      <c r="G13" s="5"/>
      <c r="H13" s="34" t="s">
        <v>68</v>
      </c>
      <c r="I13" s="3" t="s">
        <v>16</v>
      </c>
      <c r="J13" s="3" t="s">
        <v>17</v>
      </c>
      <c r="K13" s="3" t="s">
        <v>18</v>
      </c>
      <c r="L13" s="3" t="s">
        <v>19</v>
      </c>
      <c r="M13" s="3" t="s">
        <v>21</v>
      </c>
      <c r="Q13" s="21" t="s">
        <v>33</v>
      </c>
      <c r="R13" s="9"/>
    </row>
    <row r="14" spans="1:31">
      <c r="A14" s="1" t="s">
        <v>7</v>
      </c>
      <c r="B14" s="30">
        <f>$B$12*Q4</f>
        <v>76821313.650254399</v>
      </c>
      <c r="C14" s="30">
        <f>(Q4*$B$12)*E4</f>
        <v>2151764995.3436255</v>
      </c>
      <c r="D14" s="30">
        <f>C14/1000000</f>
        <v>2151.7649953436257</v>
      </c>
      <c r="E14" s="30">
        <f>D14*1.10231131</f>
        <v>2371.914890829376</v>
      </c>
      <c r="F14" s="30">
        <f t="shared" ref="F14:F19" si="1">D14*2204.62262</f>
        <v>4743829.7816587519</v>
      </c>
      <c r="G14" s="30"/>
      <c r="H14" s="1" t="s">
        <v>0</v>
      </c>
      <c r="I14" s="30">
        <f>B14+B15+B16</f>
        <v>87106435.685984805</v>
      </c>
      <c r="J14" s="30">
        <f>I14*B4</f>
        <v>1046235399.0243634</v>
      </c>
      <c r="K14" s="30">
        <f>J14/1000000</f>
        <v>1046.2353990243635</v>
      </c>
      <c r="L14" s="30">
        <f>K14*1.10231131</f>
        <v>1153.2771132669188</v>
      </c>
      <c r="M14" s="30">
        <f>K14*2204.62262</f>
        <v>2306554.2265338376</v>
      </c>
      <c r="Q14" s="20" t="s">
        <v>26</v>
      </c>
      <c r="U14" s="20" t="s">
        <v>29</v>
      </c>
      <c r="X14" s="8" t="s">
        <v>32</v>
      </c>
      <c r="Y14" t="s">
        <v>39</v>
      </c>
      <c r="AA14" s="8" t="s">
        <v>70</v>
      </c>
      <c r="AB14" s="8"/>
      <c r="AD14" s="8" t="s">
        <v>53</v>
      </c>
    </row>
    <row r="15" spans="1:31">
      <c r="A15" s="1" t="s">
        <v>8</v>
      </c>
      <c r="B15" s="30">
        <f>$B$12*Q5</f>
        <v>9706066.9077134058</v>
      </c>
      <c r="C15" s="30">
        <f>(Q5*$B$12)*E5</f>
        <v>427154298.54155928</v>
      </c>
      <c r="D15" s="30">
        <f t="shared" ref="D15:D18" si="2">C15/1000000</f>
        <v>427.15429854155929</v>
      </c>
      <c r="E15" s="30">
        <f t="shared" ref="E15:E19" si="3">D15*1.10231131</f>
        <v>470.85701439747726</v>
      </c>
      <c r="F15" s="30">
        <f t="shared" si="1"/>
        <v>941714.02879495465</v>
      </c>
      <c r="G15" s="30"/>
      <c r="H15" s="1" t="s">
        <v>2</v>
      </c>
      <c r="I15" s="30">
        <f>(4*B16)+(2*B17)</f>
        <v>377157906.71506804</v>
      </c>
      <c r="J15" s="30">
        <f>I15*B5</f>
        <v>380137454.1781171</v>
      </c>
      <c r="K15" s="30">
        <f t="shared" ref="K15:K17" si="4">J15/1000000</f>
        <v>380.13745417811708</v>
      </c>
      <c r="L15" s="30">
        <f t="shared" ref="L15:L17" si="5">K15*1.10231131</f>
        <v>419.02981509514518</v>
      </c>
      <c r="M15" s="30">
        <f t="shared" ref="M15:M17" si="6">K15*2204.62262</f>
        <v>838059.63019029051</v>
      </c>
      <c r="Q15" s="12" t="s">
        <v>28</v>
      </c>
      <c r="R15" s="16" t="s">
        <v>25</v>
      </c>
      <c r="U15" s="12" t="s">
        <v>28</v>
      </c>
      <c r="V15" s="16" t="s">
        <v>25</v>
      </c>
      <c r="X15" s="12" t="s">
        <v>28</v>
      </c>
      <c r="Y15" s="1" t="s">
        <v>25</v>
      </c>
      <c r="AA15" s="12" t="s">
        <v>28</v>
      </c>
      <c r="AB15" s="16" t="s">
        <v>25</v>
      </c>
      <c r="AD15" s="12" t="s">
        <v>28</v>
      </c>
      <c r="AE15" s="1" t="s">
        <v>25</v>
      </c>
    </row>
    <row r="16" spans="1:31">
      <c r="A16" s="1" t="s">
        <v>9</v>
      </c>
      <c r="B16" s="30">
        <f>$B$12*Q6</f>
        <v>579055.12801699282</v>
      </c>
      <c r="C16" s="30">
        <f>(Q6*$B$12)*E6</f>
        <v>9289549.7967254091</v>
      </c>
      <c r="D16" s="30">
        <f t="shared" si="2"/>
        <v>9.2895497967254084</v>
      </c>
      <c r="E16" s="30">
        <f t="shared" si="3"/>
        <v>10.239975805738618</v>
      </c>
      <c r="F16" s="30">
        <f t="shared" si="1"/>
        <v>20479.951611477238</v>
      </c>
      <c r="G16" s="30"/>
      <c r="H16" s="1" t="s">
        <v>3</v>
      </c>
      <c r="I16" s="30">
        <f>B14+(2*B15)</f>
        <v>96233447.46568121</v>
      </c>
      <c r="J16" s="30">
        <f>I16*B6</f>
        <v>1539638926.0034337</v>
      </c>
      <c r="K16" s="30">
        <f t="shared" si="4"/>
        <v>1539.6389260034337</v>
      </c>
      <c r="L16" s="30">
        <f t="shared" si="5"/>
        <v>1697.161401449838</v>
      </c>
      <c r="M16" s="30">
        <f>K16*2204.62262</f>
        <v>3394322.8028996764</v>
      </c>
      <c r="P16" s="16" t="s">
        <v>0</v>
      </c>
      <c r="Q16" s="31">
        <f>I14/SUM($I$14:$I$18)</f>
        <v>0.15473916238060254</v>
      </c>
      <c r="R16" s="31">
        <f>(Q16*B4)/(($Q$16*$B$4)+($Q$17*$B$5)+($Q$18*$B$6)+($Q$19*$B$7)+($Q$20*$B$8))</f>
        <v>0.34874513312436956</v>
      </c>
      <c r="U16" s="31">
        <f>I32/$I$37</f>
        <v>0.31447667942073909</v>
      </c>
      <c r="V16" s="31">
        <f>J32/$J$37</f>
        <v>0.36631948699778794</v>
      </c>
      <c r="X16" s="31">
        <f>(Y16/B4)/(($Y$16/$B$4)+($Y$17/$B$5)+($Y$18/$B$6)+($Y$19/$B$7)+($Y$20/$B$8))</f>
        <v>0.60179836601989978</v>
      </c>
      <c r="Y16" s="31">
        <v>0.83299999999999996</v>
      </c>
      <c r="AA16" s="31">
        <v>0</v>
      </c>
      <c r="AB16" s="31">
        <v>0</v>
      </c>
      <c r="AD16" s="31">
        <v>0</v>
      </c>
      <c r="AE16" s="31">
        <v>0</v>
      </c>
    </row>
    <row r="17" spans="1:31">
      <c r="A17" s="1" t="s">
        <v>10</v>
      </c>
      <c r="B17" s="30">
        <f>$B$12*Q7</f>
        <v>187420843.10150003</v>
      </c>
      <c r="C17" s="30">
        <f>(Q7*$B$12)*E7</f>
        <v>377802935.5240038</v>
      </c>
      <c r="D17" s="30">
        <f t="shared" si="2"/>
        <v>377.80293552400383</v>
      </c>
      <c r="E17" s="30">
        <f t="shared" si="3"/>
        <v>416.45644877931016</v>
      </c>
      <c r="F17" s="30">
        <f t="shared" si="1"/>
        <v>832912.89755862043</v>
      </c>
      <c r="G17" s="30"/>
      <c r="H17" s="1" t="s">
        <v>4</v>
      </c>
      <c r="I17" s="30">
        <f>2*B18</f>
        <v>2426516.7269283514</v>
      </c>
      <c r="J17" s="30">
        <f>I17*B7</f>
        <v>33988219.794085421</v>
      </c>
      <c r="K17" s="30">
        <f t="shared" si="4"/>
        <v>33.988219794085424</v>
      </c>
      <c r="L17" s="30">
        <f t="shared" si="5"/>
        <v>37.465599085786231</v>
      </c>
      <c r="M17" s="30">
        <f t="shared" si="6"/>
        <v>74931.198171572469</v>
      </c>
      <c r="P17" s="16" t="s">
        <v>2</v>
      </c>
      <c r="Q17" s="31">
        <f>I15/SUM($I$14:$I$18)</f>
        <v>0.66999755082047519</v>
      </c>
      <c r="R17" s="31">
        <f>(Q17*B5)/(($Q$16*$B$4)+($Q$17*$B$5)+($Q$18*$B$6)+($Q$19*$B$7)+($Q$20*$B$8))</f>
        <v>0.12671248476827654</v>
      </c>
      <c r="U17" s="31">
        <f>I33/$I$37</f>
        <v>0.2936019760740059</v>
      </c>
      <c r="V17" s="31">
        <f>J33/$J$37</f>
        <v>2.8699136489598043E-2</v>
      </c>
      <c r="X17" s="31">
        <f>(Y17/B5)/(($Y$16/$B$4)+($Y$17/$B$5)+($Y$18/$B$6)+($Y$19/$B$7)+($Y$20/$B$8))</f>
        <v>0.34437190727538242</v>
      </c>
      <c r="Y17" s="31">
        <v>0.04</v>
      </c>
      <c r="AA17" s="31">
        <v>0</v>
      </c>
      <c r="AB17" s="31">
        <v>0</v>
      </c>
      <c r="AD17" s="31">
        <f>I44/I46</f>
        <v>0.66666666666666663</v>
      </c>
      <c r="AE17" s="31">
        <f>K44/K46</f>
        <v>0.11189688478362234</v>
      </c>
    </row>
    <row r="18" spans="1:31">
      <c r="A18" s="1" t="s">
        <v>11</v>
      </c>
      <c r="B18" s="30">
        <f>$B$12*Q8</f>
        <v>1213258.3634641757</v>
      </c>
      <c r="C18" s="30">
        <f>(Q8*$B$12)*E8</f>
        <v>33988219.794085421</v>
      </c>
      <c r="D18" s="30">
        <f t="shared" si="2"/>
        <v>33.988219794085424</v>
      </c>
      <c r="E18" s="30">
        <f t="shared" si="3"/>
        <v>37.465599085786231</v>
      </c>
      <c r="F18" s="30">
        <f t="shared" si="1"/>
        <v>74931.198171572469</v>
      </c>
      <c r="G18" s="30"/>
      <c r="H18" s="1" t="s">
        <v>5</v>
      </c>
      <c r="I18">
        <v>0</v>
      </c>
      <c r="J18">
        <v>0</v>
      </c>
      <c r="K18">
        <v>0</v>
      </c>
      <c r="L18">
        <v>0</v>
      </c>
      <c r="M18">
        <v>0</v>
      </c>
      <c r="P18" s="16" t="s">
        <v>3</v>
      </c>
      <c r="Q18" s="31">
        <f>I16/SUM($I$14:$I$18)</f>
        <v>0.17095273083517024</v>
      </c>
      <c r="R18" s="31">
        <f>(Q18*B6)/(($Q$16*$B$4)+($Q$17*$B$5)+($Q$18*$B$6)+($Q$19*$B$7)+($Q$20*$B$8))</f>
        <v>0.51321297550554901</v>
      </c>
      <c r="U18" s="31">
        <f>I34/$I$37</f>
        <v>0.34014626822298638</v>
      </c>
      <c r="V18" s="31">
        <f>J34/$J$37</f>
        <v>0.52777760656625694</v>
      </c>
      <c r="X18" s="31">
        <f>(Y18/B6)/(($Y$16/$B$4)+($Y$17/$B$5)+($Y$18/$B$6)+($Y$19/$B$7)+($Y$20/$B$8))</f>
        <v>2.4081043460877073E-2</v>
      </c>
      <c r="Y18" s="31">
        <v>4.4400000000000002E-2</v>
      </c>
      <c r="AA18" s="31">
        <f>I50/I52</f>
        <v>0.94329250138233189</v>
      </c>
      <c r="AB18" s="31">
        <f>K50/K52</f>
        <v>0.95000000000000029</v>
      </c>
      <c r="AD18" s="31">
        <f>I45/I46</f>
        <v>0.33333333333333331</v>
      </c>
      <c r="AE18" s="31">
        <f>K45/K46</f>
        <v>0.88810311521637764</v>
      </c>
    </row>
    <row r="19" spans="1:31">
      <c r="A19" s="1" t="s">
        <v>14</v>
      </c>
      <c r="B19" s="30">
        <f>SUM(B14:B18)</f>
        <v>275740537.150949</v>
      </c>
      <c r="C19" s="30">
        <f>SUM(C14:C18)</f>
        <v>2999999998.9999995</v>
      </c>
      <c r="D19" s="33">
        <f>C19/1000000</f>
        <v>2999.9999989999997</v>
      </c>
      <c r="E19" s="30">
        <f t="shared" si="3"/>
        <v>3306.933928897688</v>
      </c>
      <c r="F19" s="30">
        <f t="shared" si="1"/>
        <v>6613867.8577953773</v>
      </c>
      <c r="G19" s="30"/>
      <c r="H19" s="32" t="s">
        <v>14</v>
      </c>
      <c r="I19" s="30">
        <f t="shared" ref="I19:M19" si="7">SUM(I14:I18)</f>
        <v>562924306.59366238</v>
      </c>
      <c r="J19" s="30">
        <f t="shared" si="7"/>
        <v>2999999999</v>
      </c>
      <c r="K19" s="30">
        <f t="shared" si="7"/>
        <v>2999.9999990000001</v>
      </c>
      <c r="L19" s="30">
        <f t="shared" si="7"/>
        <v>3306.933928897688</v>
      </c>
      <c r="M19" s="30">
        <f t="shared" si="7"/>
        <v>6613867.8577953773</v>
      </c>
      <c r="P19" s="16" t="s">
        <v>4</v>
      </c>
      <c r="Q19" s="31">
        <f>I17/SUM($I$14:$I$18)</f>
        <v>4.3105559637521438E-3</v>
      </c>
      <c r="R19" s="31">
        <f>(Q19*B7)/(($Q$16*$B$4)+($Q$17*$B$5)+($Q$18*$B$6)+($Q$19*$B$7)+($Q$20*$B$8))</f>
        <v>1.1329406601804943E-2</v>
      </c>
      <c r="U19" s="31">
        <f>I35/$I$37</f>
        <v>4.7851988182302505E-2</v>
      </c>
      <c r="V19" s="31">
        <f>J35/$J$37</f>
        <v>6.5003617438743666E-2</v>
      </c>
      <c r="X19" s="31">
        <f>(Y19/B7)/(($Y$16/$B$4)+($Y$17/$B$5)+($Y$18/$B$6)+($Y$19/$B$7)+($Y$20/$B$8))</f>
        <v>1.3133361607176033E-2</v>
      </c>
      <c r="Y19" s="31">
        <v>2.12E-2</v>
      </c>
      <c r="AA19" s="31">
        <f>I51/I52</f>
        <v>5.6707498617668085E-2</v>
      </c>
      <c r="AB19" s="31">
        <f>K51/K52</f>
        <v>4.9999999999999795E-2</v>
      </c>
      <c r="AD19" s="31">
        <v>0</v>
      </c>
      <c r="AE19" s="31">
        <v>0</v>
      </c>
    </row>
    <row r="20" spans="1:31">
      <c r="A20" s="1"/>
      <c r="F20" s="2"/>
      <c r="P20" s="16" t="s">
        <v>5</v>
      </c>
      <c r="Q20" s="31">
        <v>0</v>
      </c>
      <c r="R20" s="31">
        <f>(Q20*B8)/(($Q$16*$B$4)+($Q$17*$B$5)+($Q$18*$B$6)+($Q$19*$B$7)+($Q$20*$B$8))</f>
        <v>0</v>
      </c>
      <c r="U20" s="31">
        <f>I36/$I$37</f>
        <v>3.9230880999660961E-3</v>
      </c>
      <c r="V20" s="31">
        <f>J36/$J$37</f>
        <v>1.2200152507613395E-2</v>
      </c>
      <c r="X20" s="31">
        <f>(Y20/B8)/(($Y$16/$B$4)+($Y$17/$B$5)+($Y$18/$B$6)+($Y$19/$B$7)+($Y$20/$B$8))</f>
        <v>1.6615321636664591E-2</v>
      </c>
      <c r="Y20" s="31">
        <v>6.1399999999999996E-2</v>
      </c>
      <c r="AA20" s="31">
        <v>0</v>
      </c>
      <c r="AB20" s="31">
        <v>0</v>
      </c>
      <c r="AD20" s="31">
        <v>0</v>
      </c>
      <c r="AE20" s="31">
        <v>0</v>
      </c>
    </row>
    <row r="21" spans="1:31">
      <c r="A21" s="1"/>
      <c r="P21" s="17" t="s">
        <v>14</v>
      </c>
      <c r="Q21" s="31">
        <f>SUM(Q16:Q20)</f>
        <v>1</v>
      </c>
      <c r="R21" s="31">
        <f t="shared" ref="R21:V21" si="8">SUM(R16:R20)</f>
        <v>1</v>
      </c>
      <c r="U21" s="31">
        <f t="shared" si="8"/>
        <v>1</v>
      </c>
      <c r="V21" s="31">
        <f t="shared" si="8"/>
        <v>1</v>
      </c>
      <c r="X21" s="31">
        <f t="shared" ref="X21" si="9">SUM(X16:X20)</f>
        <v>0.99999999999999978</v>
      </c>
      <c r="Y21" s="31">
        <f>SUM(Y16:Y20)</f>
        <v>1</v>
      </c>
      <c r="Z21" s="31"/>
      <c r="AA21" s="31">
        <f t="shared" ref="AA21:AB21" si="10">SUM(AA16:AA20)</f>
        <v>1</v>
      </c>
      <c r="AB21" s="31">
        <f t="shared" si="10"/>
        <v>1</v>
      </c>
      <c r="AD21" s="31"/>
      <c r="AE21" s="31"/>
    </row>
    <row r="22" spans="1:31" ht="47.25">
      <c r="A22" s="42" t="s">
        <v>69</v>
      </c>
      <c r="H22" s="34" t="s">
        <v>37</v>
      </c>
      <c r="I22" s="3" t="s">
        <v>15</v>
      </c>
      <c r="J22" s="3" t="s">
        <v>20</v>
      </c>
      <c r="K22" s="3" t="s">
        <v>12</v>
      </c>
      <c r="L22" s="3" t="s">
        <v>19</v>
      </c>
      <c r="M22" s="3" t="s">
        <v>21</v>
      </c>
    </row>
    <row r="23" spans="1:31">
      <c r="H23" s="16" t="s">
        <v>0</v>
      </c>
      <c r="I23" s="30">
        <f>I14/(1-(U5+U11+U6))</f>
        <v>89157047.785040751</v>
      </c>
      <c r="J23" s="30">
        <f>I23*B4</f>
        <v>1070865300.9461244</v>
      </c>
      <c r="K23" s="30">
        <f>J23/1000000</f>
        <v>1070.8653009461245</v>
      </c>
      <c r="L23" s="30">
        <f>K23*1.10231131</f>
        <v>1180.4269327194668</v>
      </c>
      <c r="M23" s="30">
        <f>K23*2204.62262</f>
        <v>2360853.8654389335</v>
      </c>
      <c r="N23" s="3"/>
      <c r="O23" s="3"/>
    </row>
    <row r="24" spans="1:31">
      <c r="H24" s="16" t="s">
        <v>2</v>
      </c>
      <c r="I24" s="30">
        <f>$I$28*X17</f>
        <v>51019052.769846864</v>
      </c>
      <c r="J24" s="30">
        <f>I24*B5</f>
        <v>51422103.286728658</v>
      </c>
      <c r="K24" s="30">
        <f t="shared" ref="K24:K27" si="11">J24/1000000</f>
        <v>51.422103286728657</v>
      </c>
      <c r="L24" s="30">
        <f t="shared" ref="L24:L27" si="12">K24*1.10231131</f>
        <v>56.683166036949167</v>
      </c>
      <c r="M24" s="30">
        <f t="shared" ref="M24:M27" si="13">K24*2204.62262</f>
        <v>113366.33207389835</v>
      </c>
      <c r="P24" t="s">
        <v>30</v>
      </c>
      <c r="Q24" t="s">
        <v>43</v>
      </c>
      <c r="R24" s="16"/>
    </row>
    <row r="25" spans="1:31">
      <c r="H25" s="16" t="s">
        <v>3</v>
      </c>
      <c r="I25" s="30">
        <f>$I$28*X18</f>
        <v>3567631.3924788302</v>
      </c>
      <c r="J25" s="30">
        <f>I25*B6</f>
        <v>57078534.648268804</v>
      </c>
      <c r="K25" s="30">
        <f t="shared" si="11"/>
        <v>57.078534648268807</v>
      </c>
      <c r="L25" s="30">
        <f t="shared" si="12"/>
        <v>62.918314301013574</v>
      </c>
      <c r="M25" s="30">
        <f t="shared" si="13"/>
        <v>125836.62860202717</v>
      </c>
      <c r="N25" s="4"/>
      <c r="O25" s="4"/>
      <c r="P25" t="s">
        <v>31</v>
      </c>
      <c r="Q25" s="4" t="s">
        <v>44</v>
      </c>
      <c r="R25" s="4"/>
      <c r="S25" s="4"/>
    </row>
    <row r="26" spans="1:31">
      <c r="H26" s="16" t="s">
        <v>4</v>
      </c>
      <c r="I26" s="30">
        <f>$I$28*X19</f>
        <v>1945721.0496156339</v>
      </c>
      <c r="J26" s="30">
        <f>I26*B7</f>
        <v>27253714.741966184</v>
      </c>
      <c r="K26" s="30">
        <f t="shared" si="11"/>
        <v>27.253714741966185</v>
      </c>
      <c r="L26" s="30">
        <f t="shared" si="12"/>
        <v>30.042077999583057</v>
      </c>
      <c r="M26" s="30">
        <f t="shared" si="13"/>
        <v>60084.15599916612</v>
      </c>
      <c r="N26" s="4"/>
      <c r="O26" s="4"/>
      <c r="P26" t="s">
        <v>39</v>
      </c>
      <c r="Q26" s="4" t="s">
        <v>45</v>
      </c>
      <c r="R26" s="4"/>
      <c r="S26" s="4"/>
    </row>
    <row r="27" spans="1:31">
      <c r="H27" s="16" t="s">
        <v>5</v>
      </c>
      <c r="I27" s="30">
        <f>$I$28*X20</f>
        <v>2461577.0144429756</v>
      </c>
      <c r="J27" s="30">
        <f>I27*B8</f>
        <v>78932928.545128465</v>
      </c>
      <c r="K27" s="30">
        <f t="shared" si="11"/>
        <v>78.932928545128462</v>
      </c>
      <c r="L27" s="30">
        <f t="shared" si="12"/>
        <v>87.00865986671694</v>
      </c>
      <c r="M27" s="30">
        <f t="shared" si="13"/>
        <v>174017.31973343389</v>
      </c>
      <c r="N27" s="4"/>
      <c r="O27" s="4"/>
      <c r="Q27" s="4"/>
      <c r="R27" s="4"/>
      <c r="S27" s="16"/>
    </row>
    <row r="28" spans="1:31">
      <c r="H28" s="17" t="s">
        <v>40</v>
      </c>
      <c r="I28" s="30">
        <f>I23/(1-(X17+X18+X19+X20))</f>
        <v>148151030.01142505</v>
      </c>
      <c r="J28" s="30">
        <f t="shared" ref="J28" si="14">SUM(J23:J27)</f>
        <v>1285552582.1682167</v>
      </c>
      <c r="K28" s="30">
        <f>SUM(K23:K27)</f>
        <v>1285.5525821682165</v>
      </c>
      <c r="L28" s="30">
        <f>SUM(L23:L27)</f>
        <v>1417.0791509237295</v>
      </c>
      <c r="M28" s="30">
        <f>SUM(M23:M27)</f>
        <v>2834158.3018474588</v>
      </c>
      <c r="N28" s="4"/>
      <c r="O28" s="4"/>
      <c r="P28" t="s">
        <v>46</v>
      </c>
      <c r="Q28" s="4"/>
      <c r="R28" s="4"/>
      <c r="S28" s="4"/>
    </row>
    <row r="29" spans="1:31">
      <c r="K29" s="16"/>
      <c r="L29" s="4"/>
      <c r="M29" s="4"/>
      <c r="N29" s="4"/>
      <c r="O29" s="4"/>
      <c r="P29" t="s">
        <v>49</v>
      </c>
      <c r="Q29" s="4"/>
      <c r="S29" s="4"/>
    </row>
    <row r="30" spans="1:31">
      <c r="A30" s="16"/>
      <c r="K30" s="16"/>
      <c r="L30" s="4"/>
      <c r="M30" s="4"/>
      <c r="N30" s="4"/>
      <c r="O30" s="4"/>
      <c r="P30" t="s">
        <v>47</v>
      </c>
      <c r="Q30" s="4"/>
      <c r="S30" s="4"/>
    </row>
    <row r="31" spans="1:31" ht="47.25">
      <c r="A31" s="34" t="s">
        <v>41</v>
      </c>
      <c r="B31" s="3" t="s">
        <v>15</v>
      </c>
      <c r="C31" s="3" t="s">
        <v>20</v>
      </c>
      <c r="D31" s="3" t="s">
        <v>12</v>
      </c>
      <c r="E31" s="3" t="s">
        <v>19</v>
      </c>
      <c r="F31" s="3" t="s">
        <v>21</v>
      </c>
      <c r="H31" s="34" t="s">
        <v>42</v>
      </c>
      <c r="I31" s="3" t="s">
        <v>15</v>
      </c>
      <c r="J31" s="3" t="s">
        <v>20</v>
      </c>
      <c r="K31" s="3" t="s">
        <v>12</v>
      </c>
      <c r="L31" s="3" t="s">
        <v>19</v>
      </c>
      <c r="M31" s="3" t="s">
        <v>21</v>
      </c>
      <c r="N31" s="4"/>
      <c r="O31" s="4"/>
      <c r="S31" s="4"/>
    </row>
    <row r="32" spans="1:31">
      <c r="A32" s="16" t="s">
        <v>7</v>
      </c>
      <c r="B32" s="30">
        <f>B14</f>
        <v>76821313.650254399</v>
      </c>
      <c r="C32" s="30">
        <f>B32*E4</f>
        <v>2151764995.3436255</v>
      </c>
      <c r="D32" s="30">
        <f>C32/1000000</f>
        <v>2151.7649953436257</v>
      </c>
      <c r="E32" s="30">
        <f>D32*1.10231131</f>
        <v>2371.914890829376</v>
      </c>
      <c r="F32" s="30">
        <f>D32*2204.62262</f>
        <v>4743829.7816587519</v>
      </c>
      <c r="H32" s="16" t="s">
        <v>0</v>
      </c>
      <c r="I32" s="30">
        <f>B32+B33+B34+B39</f>
        <v>79642469.987402499</v>
      </c>
      <c r="J32" s="30">
        <f>I32*B4</f>
        <v>956585707.0186913</v>
      </c>
      <c r="K32" s="30">
        <f>J32/1000000</f>
        <v>956.58570701869132</v>
      </c>
      <c r="L32" s="30">
        <f>K32*1.10231131</f>
        <v>1054.4552438310498</v>
      </c>
      <c r="M32" s="30">
        <f>K32*2204.62262</f>
        <v>2108910.4876620998</v>
      </c>
      <c r="N32" s="4"/>
      <c r="O32" s="4"/>
      <c r="P32" s="16"/>
      <c r="Q32" s="4"/>
      <c r="R32" s="4"/>
      <c r="S32" s="4"/>
    </row>
    <row r="33" spans="1:19">
      <c r="A33" s="16" t="s">
        <v>8</v>
      </c>
      <c r="B33" s="30">
        <f>$B$32*(U5/$U$4)</f>
        <v>2661699.674613636</v>
      </c>
      <c r="C33" s="30">
        <f t="shared" ref="C32:C39" si="15">B33*E5</f>
        <v>117138740.9800715</v>
      </c>
      <c r="D33" s="30">
        <f t="shared" ref="D33:D39" si="16">C33/1000000</f>
        <v>117.1387409800715</v>
      </c>
      <c r="E33" s="30">
        <f t="shared" ref="E33:E39" si="17">D33*1.10231131</f>
        <v>129.12335902149329</v>
      </c>
      <c r="F33" s="30">
        <f t="shared" ref="F33:F39" si="18">D33*2204.62262</f>
        <v>258246.71804298661</v>
      </c>
      <c r="H33" s="16" t="s">
        <v>2</v>
      </c>
      <c r="I33" s="30">
        <f>(4*B34)+(2*B35)+(2*B37)+(2*B38)</f>
        <v>74355868.32952933</v>
      </c>
      <c r="J33" s="30">
        <f>I33*B5</f>
        <v>74943279.689332619</v>
      </c>
      <c r="K33" s="30">
        <f t="shared" ref="K33:K36" si="19">J33/1000000</f>
        <v>74.943279689332613</v>
      </c>
      <c r="L33" s="30">
        <f t="shared" ref="L33:L36" si="20">K33*1.10231131</f>
        <v>82.610824810044619</v>
      </c>
      <c r="M33" s="30">
        <f t="shared" ref="M33:M36" si="21">K33*2204.62262</f>
        <v>165221.64962008927</v>
      </c>
      <c r="N33" s="4"/>
      <c r="O33" s="4"/>
      <c r="P33" s="16"/>
      <c r="Q33" s="4"/>
      <c r="R33" s="4"/>
      <c r="S33" s="4"/>
    </row>
    <row r="34" spans="1:19">
      <c r="A34" s="16" t="s">
        <v>9</v>
      </c>
      <c r="B34" s="30">
        <f t="shared" ref="B34:B39" si="22">$B$32*(U6/$U$4)</f>
        <v>110393.07406231669</v>
      </c>
      <c r="C34" s="30">
        <f t="shared" si="15"/>
        <v>1770991.9299521218</v>
      </c>
      <c r="D34" s="30">
        <f t="shared" si="16"/>
        <v>1.7709919299521217</v>
      </c>
      <c r="E34" s="30">
        <f t="shared" si="17"/>
        <v>1.9521844343049515</v>
      </c>
      <c r="F34" s="30">
        <f t="shared" si="18"/>
        <v>3904.3688686099031</v>
      </c>
      <c r="H34" s="16" t="s">
        <v>3</v>
      </c>
      <c r="I34" s="30">
        <f>B32+(2*B33)+B37+B39</f>
        <v>86143395.459961146</v>
      </c>
      <c r="J34" s="30">
        <f>I34*B6</f>
        <v>1378208183.9639184</v>
      </c>
      <c r="K34" s="30">
        <f t="shared" si="19"/>
        <v>1378.2081839639184</v>
      </c>
      <c r="L34" s="30">
        <f t="shared" si="20"/>
        <v>1519.2144687179878</v>
      </c>
      <c r="M34" s="30">
        <f t="shared" si="21"/>
        <v>3038428.9374359758</v>
      </c>
      <c r="N34" s="4"/>
      <c r="O34" s="4"/>
      <c r="P34" s="4"/>
      <c r="Q34" s="4"/>
      <c r="R34" s="4"/>
      <c r="S34" s="4"/>
    </row>
    <row r="35" spans="1:19">
      <c r="A35" s="16" t="s">
        <v>10</v>
      </c>
      <c r="B35" s="30">
        <f t="shared" si="22"/>
        <v>32063055.066543989</v>
      </c>
      <c r="C35" s="30">
        <f t="shared" si="15"/>
        <v>64632706.403139375</v>
      </c>
      <c r="D35" s="30">
        <f t="shared" si="16"/>
        <v>64.63270640313938</v>
      </c>
      <c r="E35" s="30">
        <f t="shared" si="17"/>
        <v>71.24536326408996</v>
      </c>
      <c r="F35" s="30">
        <f t="shared" si="18"/>
        <v>142490.72652817992</v>
      </c>
      <c r="H35" s="16" t="s">
        <v>4</v>
      </c>
      <c r="I35" s="30">
        <f>2*B36</f>
        <v>12118706.352618767</v>
      </c>
      <c r="J35" s="30">
        <f>I35*B7</f>
        <v>169746719.88113105</v>
      </c>
      <c r="K35" s="30">
        <f t="shared" si="19"/>
        <v>169.74671988113104</v>
      </c>
      <c r="L35" s="30">
        <f t="shared" si="20"/>
        <v>187.1137291603726</v>
      </c>
      <c r="M35" s="30">
        <f t="shared" si="21"/>
        <v>374227.45832074521</v>
      </c>
      <c r="N35" s="4"/>
      <c r="O35" s="4"/>
      <c r="P35" s="4"/>
      <c r="Q35" s="4"/>
      <c r="R35" s="4"/>
      <c r="S35" s="4"/>
    </row>
    <row r="36" spans="1:19">
      <c r="A36" s="16" t="s">
        <v>11</v>
      </c>
      <c r="B36" s="30">
        <f t="shared" si="22"/>
        <v>6059353.1763093835</v>
      </c>
      <c r="C36" s="30">
        <f t="shared" si="15"/>
        <v>169746719.88113105</v>
      </c>
      <c r="D36" s="30">
        <f t="shared" si="16"/>
        <v>169.74671988113104</v>
      </c>
      <c r="E36" s="30">
        <f t="shared" si="17"/>
        <v>187.1137291603726</v>
      </c>
      <c r="F36" s="30">
        <f t="shared" si="18"/>
        <v>374227.45832074521</v>
      </c>
      <c r="H36" s="16" t="s">
        <v>5</v>
      </c>
      <c r="I36" s="30">
        <f>B38+B39</f>
        <v>993537.66656085034</v>
      </c>
      <c r="J36" s="30">
        <f>I36*B8</f>
        <v>31858778.815940231</v>
      </c>
      <c r="K36" s="30">
        <f t="shared" si="19"/>
        <v>31.85877881594023</v>
      </c>
      <c r="L36" s="30">
        <f t="shared" si="20"/>
        <v>35.118292211599325</v>
      </c>
      <c r="M36" s="30">
        <f t="shared" si="21"/>
        <v>70236.584423198656</v>
      </c>
    </row>
    <row r="37" spans="1:19">
      <c r="A37" s="16" t="s">
        <v>22</v>
      </c>
      <c r="B37" s="30">
        <f t="shared" si="22"/>
        <v>3949618.8720073309</v>
      </c>
      <c r="C37" s="30">
        <f t="shared" si="15"/>
        <v>71151594.055437669</v>
      </c>
      <c r="D37" s="30">
        <f t="shared" si="16"/>
        <v>71.15159405543767</v>
      </c>
      <c r="E37" s="30">
        <f t="shared" si="17"/>
        <v>78.4312068518377</v>
      </c>
      <c r="F37" s="30">
        <f t="shared" si="18"/>
        <v>156862.41370367544</v>
      </c>
      <c r="H37" s="17" t="s">
        <v>14</v>
      </c>
      <c r="I37" s="30">
        <f>SUM(I32:I36)</f>
        <v>253253977.7960726</v>
      </c>
      <c r="J37" s="30">
        <f t="shared" ref="J37:M37" si="23">SUM(J32:J36)</f>
        <v>2611342669.3690138</v>
      </c>
      <c r="K37" s="30">
        <f t="shared" si="23"/>
        <v>2611.3426693690135</v>
      </c>
      <c r="L37" s="30">
        <f t="shared" si="23"/>
        <v>2878.512558731054</v>
      </c>
      <c r="M37" s="30">
        <f t="shared" si="23"/>
        <v>5757025.1174621079</v>
      </c>
    </row>
    <row r="38" spans="1:19">
      <c r="A38" s="16" t="s">
        <v>23</v>
      </c>
      <c r="B38" s="30">
        <f t="shared" si="22"/>
        <v>944474.07808870962</v>
      </c>
      <c r="C38" s="30">
        <f t="shared" si="15"/>
        <v>32189376.634603783</v>
      </c>
      <c r="D38" s="30">
        <f t="shared" si="16"/>
        <v>32.189376634603782</v>
      </c>
      <c r="E38" s="30">
        <f t="shared" si="17"/>
        <v>35.482713926173481</v>
      </c>
      <c r="F38" s="30">
        <f t="shared" si="18"/>
        <v>70965.427852346969</v>
      </c>
    </row>
    <row r="39" spans="1:19">
      <c r="A39" s="16" t="s">
        <v>24</v>
      </c>
      <c r="B39" s="30">
        <f t="shared" si="22"/>
        <v>49063.588472140756</v>
      </c>
      <c r="C39" s="30">
        <f t="shared" si="15"/>
        <v>2947544.1410523281</v>
      </c>
      <c r="D39" s="30">
        <f t="shared" si="16"/>
        <v>2.9475441410523282</v>
      </c>
      <c r="E39" s="30">
        <f t="shared" si="17"/>
        <v>3.2491112434062166</v>
      </c>
      <c r="F39" s="30">
        <f t="shared" si="18"/>
        <v>6498.222486812434</v>
      </c>
    </row>
    <row r="40" spans="1:19">
      <c r="A40" s="17" t="s">
        <v>14</v>
      </c>
      <c r="B40" s="30">
        <f>SUM(B32:B39)</f>
        <v>122658971.1803519</v>
      </c>
      <c r="C40" s="30">
        <f t="shared" ref="C40:D40" si="24">SUM(C32:C39)</f>
        <v>2611342669.3690138</v>
      </c>
      <c r="D40" s="30">
        <f t="shared" si="24"/>
        <v>2611.3426693690135</v>
      </c>
      <c r="E40" s="30">
        <f>SUM(E32:E39)</f>
        <v>2878.512558731054</v>
      </c>
      <c r="F40" s="30">
        <f t="shared" ref="F40" si="25">SUM(F32:F39)</f>
        <v>5757025.1174621079</v>
      </c>
    </row>
    <row r="43" spans="1:19" ht="47.25">
      <c r="A43" s="40" t="s">
        <v>63</v>
      </c>
      <c r="B43" s="3" t="s">
        <v>15</v>
      </c>
      <c r="C43" s="3" t="s">
        <v>50</v>
      </c>
      <c r="D43" s="3" t="s">
        <v>12</v>
      </c>
      <c r="E43" s="3" t="s">
        <v>19</v>
      </c>
      <c r="F43" s="3" t="s">
        <v>21</v>
      </c>
      <c r="H43" s="41" t="s">
        <v>64</v>
      </c>
      <c r="I43" s="3" t="s">
        <v>15</v>
      </c>
      <c r="J43" s="3" t="s">
        <v>20</v>
      </c>
      <c r="K43" s="3" t="s">
        <v>12</v>
      </c>
      <c r="L43" s="3" t="s">
        <v>19</v>
      </c>
      <c r="M43" s="3" t="s">
        <v>21</v>
      </c>
    </row>
    <row r="44" spans="1:19">
      <c r="A44" s="1" t="s">
        <v>22</v>
      </c>
      <c r="B44">
        <f>((2*B34)+B35+B37+B38)-(0.5*I24)</f>
        <v>11668407.779841233</v>
      </c>
      <c r="C44">
        <f>B44*E9</f>
        <v>210204032.47228387</v>
      </c>
      <c r="D44">
        <f>C44/1000000</f>
        <v>210.20403247228387</v>
      </c>
      <c r="E44">
        <f>D44*1.10231131</f>
        <v>231.71028240180576</v>
      </c>
      <c r="F44">
        <f>D44*2204.62262</f>
        <v>463420.56480361155</v>
      </c>
      <c r="H44" s="1" t="s">
        <v>2</v>
      </c>
      <c r="I44">
        <f>2*B44</f>
        <v>23336815.559682466</v>
      </c>
      <c r="J44">
        <f>I44*B5</f>
        <v>23521176.402603958</v>
      </c>
      <c r="K44">
        <f>J44/1000000</f>
        <v>23.521176402603956</v>
      </c>
      <c r="L44">
        <f>K44*1.10231131</f>
        <v>25.927658773095452</v>
      </c>
      <c r="M44">
        <f>K44*2204.62262</f>
        <v>51855.317546190912</v>
      </c>
    </row>
    <row r="45" spans="1:19">
      <c r="H45" s="1" t="s">
        <v>3</v>
      </c>
      <c r="I45">
        <f>B44</f>
        <v>11668407.779841233</v>
      </c>
      <c r="J45">
        <f>I45*B6</f>
        <v>186682856.06967989</v>
      </c>
      <c r="K45">
        <f>J45/1000000</f>
        <v>186.6828560696799</v>
      </c>
      <c r="L45">
        <f>K45*1.10231131</f>
        <v>205.7826236287103</v>
      </c>
      <c r="M45">
        <f>K45*2204.62262</f>
        <v>411565.24725742062</v>
      </c>
    </row>
    <row r="46" spans="1:19">
      <c r="H46" s="1" t="s">
        <v>14</v>
      </c>
      <c r="I46">
        <f>SUM(I44:I45)</f>
        <v>35005223.339523703</v>
      </c>
      <c r="J46">
        <f>SUM(J44:J45)</f>
        <v>210204032.47228384</v>
      </c>
      <c r="K46">
        <f>SUM(K44:K45)</f>
        <v>210.20403247228387</v>
      </c>
      <c r="L46">
        <f>SUM(L44:L45)</f>
        <v>231.71028240180576</v>
      </c>
      <c r="M46">
        <f>SUM(M44:M45)</f>
        <v>463420.56480361155</v>
      </c>
    </row>
    <row r="49" spans="1:19" ht="63">
      <c r="A49" s="34" t="s">
        <v>65</v>
      </c>
      <c r="B49" s="3" t="s">
        <v>15</v>
      </c>
      <c r="C49" s="3" t="s">
        <v>20</v>
      </c>
      <c r="D49" s="3" t="s">
        <v>12</v>
      </c>
      <c r="E49" s="3" t="s">
        <v>19</v>
      </c>
      <c r="F49" s="3" t="s">
        <v>21</v>
      </c>
      <c r="H49" s="34" t="s">
        <v>66</v>
      </c>
      <c r="I49" s="3" t="s">
        <v>15</v>
      </c>
      <c r="J49" s="3" t="s">
        <v>20</v>
      </c>
      <c r="K49" s="3" t="s">
        <v>12</v>
      </c>
      <c r="L49" s="3" t="s">
        <v>19</v>
      </c>
      <c r="M49" s="3" t="s">
        <v>21</v>
      </c>
    </row>
    <row r="50" spans="1:19">
      <c r="A50" s="1" t="s">
        <v>62</v>
      </c>
      <c r="B50">
        <f>((0.5*B32)+(B33)+(0.5*B37)+(0.5*B39))-(0.5*I25)-(0.5*B44)</f>
        <v>35453678.143820547</v>
      </c>
      <c r="C50">
        <f>B50*(B6*2)</f>
        <v>1134446793.2459698</v>
      </c>
      <c r="D50">
        <f>C50/1000000</f>
        <v>1134.4467932459697</v>
      </c>
      <c r="E50">
        <f>D50*1.10231131</f>
        <v>1250.513530788264</v>
      </c>
      <c r="F50">
        <f>D50*2204.62262</f>
        <v>2501027.061576528</v>
      </c>
      <c r="H50" s="1" t="s">
        <v>3</v>
      </c>
      <c r="I50">
        <f>(2*B50)</f>
        <v>70907356.287641093</v>
      </c>
      <c r="J50">
        <f>I50*B6</f>
        <v>1134446793.2459698</v>
      </c>
      <c r="K50">
        <f>J50/1000000</f>
        <v>1134.4467932459697</v>
      </c>
      <c r="L50">
        <f>K50*1.10231131</f>
        <v>1250.513530788264</v>
      </c>
      <c r="M50">
        <f>K50*2204.62262</f>
        <v>2501027.061576528</v>
      </c>
    </row>
    <row r="51" spans="1:19">
      <c r="A51" s="1" t="s">
        <v>54</v>
      </c>
      <c r="B51">
        <f>(0.95*C51/(2*B6))+(0.05*C51/(2*B7))</f>
        <v>37585031.251563601</v>
      </c>
      <c r="C51">
        <f>C50*(1/0.95)</f>
        <v>1194154519.2062838</v>
      </c>
      <c r="D51">
        <f>D50*(1/0.95)</f>
        <v>1194.1545192062838</v>
      </c>
      <c r="E51">
        <f>E50*(1/0.95)</f>
        <v>1316.3300324086988</v>
      </c>
      <c r="F51">
        <f>F50*(1/0.95)</f>
        <v>2632660.0648173979</v>
      </c>
      <c r="H51" s="1" t="s">
        <v>4</v>
      </c>
      <c r="I51">
        <f>(2*B52)</f>
        <v>4262706.2154861093</v>
      </c>
      <c r="J51">
        <f>I51*B7</f>
        <v>59707725.960313931</v>
      </c>
      <c r="K51">
        <f t="shared" ref="K51" si="26">J51/1000000</f>
        <v>59.70772596031393</v>
      </c>
      <c r="L51">
        <f>K51*1.10231131</f>
        <v>65.81650162043465</v>
      </c>
      <c r="M51">
        <f>K51*2204.62262</f>
        <v>131633.00324086932</v>
      </c>
    </row>
    <row r="52" spans="1:19">
      <c r="A52" s="1" t="s">
        <v>11</v>
      </c>
      <c r="B52">
        <f>B51-B50</f>
        <v>2131353.1077430546</v>
      </c>
      <c r="C52">
        <f>C51-C50</f>
        <v>59707725.960314035</v>
      </c>
      <c r="D52">
        <f>D51-D50</f>
        <v>59.707725960314065</v>
      </c>
      <c r="E52">
        <f>E51-E50</f>
        <v>65.816501620434792</v>
      </c>
      <c r="F52">
        <f>F51-F50</f>
        <v>131633.00324086985</v>
      </c>
      <c r="H52" s="1" t="s">
        <v>14</v>
      </c>
      <c r="I52">
        <f>SUM(I50:I51)</f>
        <v>75170062.503127202</v>
      </c>
      <c r="J52">
        <f>SUM(J50:J51)</f>
        <v>1194154519.2062838</v>
      </c>
      <c r="K52">
        <f>SUM(K50:K51)</f>
        <v>1194.1545192062836</v>
      </c>
      <c r="L52">
        <f>SUM(L50:L51)</f>
        <v>1316.3300324086986</v>
      </c>
      <c r="M52">
        <f>SUM(M50:M51)</f>
        <v>2632660.0648173974</v>
      </c>
    </row>
    <row r="54" spans="1:19" ht="30">
      <c r="A54" s="38" t="s">
        <v>71</v>
      </c>
      <c r="B54" s="3"/>
      <c r="C54" s="3"/>
      <c r="D54" s="3"/>
      <c r="E54" s="3"/>
      <c r="F54" s="3"/>
      <c r="H54" s="30"/>
    </row>
    <row r="55" spans="1:19" ht="30">
      <c r="A55" s="38" t="s">
        <v>52</v>
      </c>
      <c r="B55" s="1" t="s">
        <v>51</v>
      </c>
      <c r="C55" s="1" t="s">
        <v>53</v>
      </c>
      <c r="D55" s="1" t="s">
        <v>54</v>
      </c>
      <c r="E55" s="1" t="s">
        <v>57</v>
      </c>
      <c r="F55" s="1" t="s">
        <v>56</v>
      </c>
      <c r="G55" s="1" t="s">
        <v>55</v>
      </c>
    </row>
    <row r="56" spans="1:19">
      <c r="A56" t="s">
        <v>72</v>
      </c>
      <c r="B56" s="32">
        <f>L28</f>
        <v>1417.0791509237295</v>
      </c>
      <c r="C56" s="32">
        <f>E44</f>
        <v>231.71028240180576</v>
      </c>
      <c r="D56" s="32">
        <f>E51</f>
        <v>1316.3300324086988</v>
      </c>
      <c r="E56" s="32">
        <f>SUM(B56:D56)</f>
        <v>2965.1194657342339</v>
      </c>
      <c r="F56" s="32">
        <f>E40</f>
        <v>2878.512558731054</v>
      </c>
      <c r="G56" s="32">
        <f>L19</f>
        <v>3306.933928897688</v>
      </c>
      <c r="H56" t="s">
        <v>76</v>
      </c>
    </row>
    <row r="57" spans="1:19">
      <c r="A57" s="16" t="s">
        <v>0</v>
      </c>
      <c r="B57" s="30">
        <f>$B$56*Y16</f>
        <v>1180.4269327194665</v>
      </c>
      <c r="C57" s="30">
        <f>$C$56*AE16</f>
        <v>0</v>
      </c>
      <c r="D57" s="30">
        <f>$D$56*AE16</f>
        <v>0</v>
      </c>
      <c r="E57" s="44">
        <f>SUM(B57:D57)</f>
        <v>1180.4269327194665</v>
      </c>
      <c r="F57" s="44">
        <f>$F$56*V16</f>
        <v>1054.4552438310495</v>
      </c>
      <c r="G57" s="30">
        <f>$G$56*R16</f>
        <v>1153.2771132669186</v>
      </c>
    </row>
    <row r="58" spans="1:19">
      <c r="A58" s="16" t="s">
        <v>2</v>
      </c>
      <c r="B58" s="30">
        <f t="shared" ref="B58:B61" si="27">$B$56*Y17</f>
        <v>56.683166036949181</v>
      </c>
      <c r="C58" s="30">
        <f t="shared" ref="C58:C61" si="28">$C$56*AE17</f>
        <v>25.927658773095452</v>
      </c>
      <c r="D58" s="30">
        <f t="shared" ref="D58:D61" si="29">$D$56*AE17</f>
        <v>147.29322997365801</v>
      </c>
      <c r="E58" s="30">
        <f t="shared" ref="E58:E61" si="30">SUM(B58:D58)</f>
        <v>229.90405478370263</v>
      </c>
      <c r="F58" s="30">
        <f t="shared" ref="F58:F61" si="31">$F$56*V17</f>
        <v>82.610824810044619</v>
      </c>
      <c r="G58" s="30">
        <f t="shared" ref="G58:G61" si="32">$G$56*R17</f>
        <v>419.02981509514518</v>
      </c>
    </row>
    <row r="59" spans="1:19">
      <c r="A59" s="16" t="s">
        <v>3</v>
      </c>
      <c r="B59" s="30">
        <f t="shared" si="27"/>
        <v>62.918314301013588</v>
      </c>
      <c r="C59" s="30">
        <f t="shared" si="28"/>
        <v>205.7826236287103</v>
      </c>
      <c r="D59" s="30">
        <f t="shared" si="29"/>
        <v>1169.0368024350407</v>
      </c>
      <c r="E59" s="30">
        <f t="shared" si="30"/>
        <v>1437.7377403647647</v>
      </c>
      <c r="F59" s="30">
        <f t="shared" si="31"/>
        <v>1519.2144687179878</v>
      </c>
      <c r="G59" s="30">
        <f t="shared" si="32"/>
        <v>1697.1614014498382</v>
      </c>
    </row>
    <row r="60" spans="1:19">
      <c r="A60" s="16" t="s">
        <v>4</v>
      </c>
      <c r="B60" s="30">
        <f t="shared" si="27"/>
        <v>30.042077999583064</v>
      </c>
      <c r="C60" s="30">
        <f t="shared" si="28"/>
        <v>0</v>
      </c>
      <c r="D60" s="30">
        <f t="shared" si="29"/>
        <v>0</v>
      </c>
      <c r="E60" s="30">
        <f t="shared" si="30"/>
        <v>30.042077999583064</v>
      </c>
      <c r="F60" s="30">
        <f t="shared" si="31"/>
        <v>187.1137291603726</v>
      </c>
      <c r="G60" s="30">
        <f t="shared" si="32"/>
        <v>37.465599085786224</v>
      </c>
      <c r="R60" s="4"/>
      <c r="S60" s="4"/>
    </row>
    <row r="61" spans="1:19">
      <c r="A61" s="16" t="s">
        <v>5</v>
      </c>
      <c r="B61" s="30">
        <f t="shared" si="27"/>
        <v>87.008659866716982</v>
      </c>
      <c r="C61" s="30">
        <f t="shared" si="28"/>
        <v>0</v>
      </c>
      <c r="D61" s="30">
        <f t="shared" si="29"/>
        <v>0</v>
      </c>
      <c r="E61" s="30">
        <f t="shared" si="30"/>
        <v>87.008659866716982</v>
      </c>
      <c r="F61" s="30">
        <f t="shared" si="31"/>
        <v>35.118292211599318</v>
      </c>
      <c r="G61" s="30">
        <f t="shared" si="32"/>
        <v>0</v>
      </c>
      <c r="R61" s="4"/>
      <c r="S61" s="4"/>
    </row>
    <row r="62" spans="1:19">
      <c r="A62" s="17"/>
      <c r="B62" s="30"/>
      <c r="C62" s="30"/>
      <c r="E62" s="30"/>
      <c r="F62" s="30"/>
      <c r="R62" s="4"/>
      <c r="S62" s="4"/>
    </row>
    <row r="63" spans="1:19">
      <c r="B63" s="30"/>
      <c r="C63" s="30"/>
      <c r="E63" s="30"/>
      <c r="R63" s="4"/>
      <c r="S63" s="4"/>
    </row>
    <row r="64" spans="1:19">
      <c r="E64" s="45" t="s">
        <v>77</v>
      </c>
      <c r="F64" s="45"/>
      <c r="G64" s="45"/>
      <c r="H64" s="45"/>
      <c r="I64" s="45"/>
      <c r="J64" s="45"/>
      <c r="R64" s="4"/>
      <c r="S64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66"/>
  <sheetViews>
    <sheetView topLeftCell="B1" zoomScale="98" zoomScaleNormal="98" workbookViewId="0">
      <selection activeCell="H59" sqref="H59"/>
    </sheetView>
  </sheetViews>
  <sheetFormatPr defaultRowHeight="15"/>
  <cols>
    <col min="1" max="1" width="12.42578125" customWidth="1"/>
    <col min="2" max="2" width="10.5703125" customWidth="1"/>
    <col min="3" max="3" width="14.28515625" customWidth="1"/>
    <col min="4" max="4" width="12.140625" bestFit="1" customWidth="1"/>
    <col min="5" max="5" width="9.28515625" bestFit="1" customWidth="1"/>
    <col min="6" max="6" width="9.5703125" bestFit="1" customWidth="1"/>
    <col min="7" max="7" width="11.42578125" customWidth="1"/>
    <col min="8" max="8" width="13.28515625" customWidth="1"/>
    <col min="9" max="9" width="10.28515625" customWidth="1"/>
    <col min="10" max="10" width="12.5703125" bestFit="1" customWidth="1"/>
    <col min="11" max="11" width="9.28515625" bestFit="1" customWidth="1"/>
    <col min="12" max="12" width="10.42578125" customWidth="1"/>
    <col min="13" max="13" width="10.5703125" customWidth="1"/>
  </cols>
  <sheetData>
    <row r="1" spans="1:31" ht="15.75">
      <c r="Q1" s="9" t="s">
        <v>27</v>
      </c>
      <c r="R1" s="9"/>
    </row>
    <row r="2" spans="1:31">
      <c r="A2" s="10" t="s">
        <v>1</v>
      </c>
      <c r="B2" s="26"/>
      <c r="C2" s="26"/>
      <c r="D2" s="26" t="s">
        <v>6</v>
      </c>
      <c r="E2" s="19"/>
      <c r="P2" s="4"/>
      <c r="Q2" s="20" t="s">
        <v>26</v>
      </c>
      <c r="R2" s="24"/>
      <c r="S2" s="4"/>
      <c r="T2" s="4"/>
      <c r="U2" s="20" t="s">
        <v>29</v>
      </c>
      <c r="V2" s="22"/>
      <c r="X2" s="8" t="s">
        <v>70</v>
      </c>
      <c r="Y2" s="8"/>
    </row>
    <row r="3" spans="1:31">
      <c r="A3" s="11" t="s">
        <v>0</v>
      </c>
      <c r="B3" s="4">
        <v>12.010999999999999</v>
      </c>
      <c r="C3" s="4">
        <v>12.010999999999999</v>
      </c>
      <c r="D3" s="4" t="s">
        <v>7</v>
      </c>
      <c r="E3" s="13">
        <v>28.009999999999998</v>
      </c>
      <c r="P3" s="4" t="s">
        <v>30</v>
      </c>
      <c r="Q3" s="12" t="s">
        <v>28</v>
      </c>
      <c r="R3" s="16" t="s">
        <v>25</v>
      </c>
      <c r="S3" s="4"/>
      <c r="T3" s="4" t="s">
        <v>31</v>
      </c>
      <c r="U3" s="12" t="s">
        <v>28</v>
      </c>
      <c r="V3" s="23" t="s">
        <v>25</v>
      </c>
      <c r="Y3" s="1" t="s">
        <v>28</v>
      </c>
      <c r="Z3" s="1" t="s">
        <v>25</v>
      </c>
    </row>
    <row r="4" spans="1:31">
      <c r="A4" s="11" t="s">
        <v>2</v>
      </c>
      <c r="B4" s="4">
        <v>1.0079</v>
      </c>
      <c r="C4" s="4">
        <v>1.0079</v>
      </c>
      <c r="D4" s="4" t="s">
        <v>8</v>
      </c>
      <c r="E4" s="13">
        <v>44.009</v>
      </c>
      <c r="P4" s="16" t="s">
        <v>7</v>
      </c>
      <c r="Q4" s="35">
        <v>0.27860000000000001</v>
      </c>
      <c r="R4" s="35">
        <v>0.7172549986869603</v>
      </c>
      <c r="S4" s="4"/>
      <c r="T4" s="16" t="s">
        <v>7</v>
      </c>
      <c r="U4" s="37">
        <v>0.62630000000000008</v>
      </c>
      <c r="V4" s="37">
        <v>0.82400713647572066</v>
      </c>
      <c r="X4" s="1" t="s">
        <v>62</v>
      </c>
      <c r="Y4">
        <f>B40/B41</f>
        <v>0.94329250138233156</v>
      </c>
      <c r="Z4">
        <f>D40/D41</f>
        <v>0.95</v>
      </c>
    </row>
    <row r="5" spans="1:31">
      <c r="A5" s="11" t="s">
        <v>3</v>
      </c>
      <c r="B5" s="4">
        <v>15.999000000000001</v>
      </c>
      <c r="C5" s="4">
        <v>15.999000000000001</v>
      </c>
      <c r="D5" s="4" t="s">
        <v>9</v>
      </c>
      <c r="E5" s="13">
        <v>16.0426</v>
      </c>
      <c r="P5" s="16" t="s">
        <v>8</v>
      </c>
      <c r="Q5" s="35">
        <v>3.5200000000000002E-2</v>
      </c>
      <c r="R5" s="35">
        <v>0.14238476622798138</v>
      </c>
      <c r="S5" s="4"/>
      <c r="T5" s="16" t="s">
        <v>8</v>
      </c>
      <c r="U5" s="37">
        <v>2.1700000000000001E-2</v>
      </c>
      <c r="V5" s="37">
        <v>4.4857667419180985E-2</v>
      </c>
      <c r="X5" s="1" t="s">
        <v>11</v>
      </c>
      <c r="Y5">
        <f>B42/B41</f>
        <v>5.6707498617668411E-2</v>
      </c>
      <c r="Z5">
        <f>D42/D41</f>
        <v>5.000000000000001E-2</v>
      </c>
    </row>
    <row r="6" spans="1:31">
      <c r="A6" s="11" t="s">
        <v>4</v>
      </c>
      <c r="B6" s="4">
        <v>14.007</v>
      </c>
      <c r="C6" s="4">
        <v>14.007</v>
      </c>
      <c r="D6" s="4" t="s">
        <v>10</v>
      </c>
      <c r="E6" s="13">
        <v>2.0158</v>
      </c>
      <c r="P6" s="16" t="s">
        <v>9</v>
      </c>
      <c r="Q6" s="35">
        <v>2.0999999999999999E-3</v>
      </c>
      <c r="R6" s="35">
        <v>3.096516599940642E-3</v>
      </c>
      <c r="S6" s="4"/>
      <c r="T6" s="16" t="s">
        <v>9</v>
      </c>
      <c r="U6" s="37">
        <v>8.9999999999999998E-4</v>
      </c>
      <c r="V6" s="37">
        <v>6.7819208513911797E-4</v>
      </c>
      <c r="X6" s="1"/>
    </row>
    <row r="7" spans="1:31">
      <c r="A7" s="11" t="s">
        <v>5</v>
      </c>
      <c r="B7" s="4">
        <v>32.066000000000003</v>
      </c>
      <c r="C7" s="4">
        <v>32.066000000000003</v>
      </c>
      <c r="D7" s="4" t="s">
        <v>11</v>
      </c>
      <c r="E7" s="13">
        <v>28.013999999999999</v>
      </c>
      <c r="P7" s="16" t="s">
        <v>10</v>
      </c>
      <c r="Q7" s="35">
        <v>0.67969999999999997</v>
      </c>
      <c r="R7" s="35">
        <v>0.12593431188331272</v>
      </c>
      <c r="S7" s="4"/>
      <c r="T7" s="16" t="s">
        <v>10</v>
      </c>
      <c r="U7" s="37">
        <v>0.26140000000000002</v>
      </c>
      <c r="V7" s="37">
        <v>2.4750756444674782E-2</v>
      </c>
    </row>
    <row r="8" spans="1:31">
      <c r="A8" s="11"/>
      <c r="B8" s="4"/>
      <c r="C8" s="4"/>
      <c r="D8" s="4" t="s">
        <v>22</v>
      </c>
      <c r="E8" s="13">
        <v>18.014800000000001</v>
      </c>
      <c r="P8" s="16" t="s">
        <v>11</v>
      </c>
      <c r="Q8" s="35">
        <v>4.4000000000000003E-3</v>
      </c>
      <c r="R8" s="35">
        <v>1.1329406601804945E-2</v>
      </c>
      <c r="S8" s="4"/>
      <c r="T8" s="16" t="s">
        <v>11</v>
      </c>
      <c r="U8" s="37">
        <v>4.9400000000000006E-2</v>
      </c>
      <c r="V8" s="37">
        <v>6.5003617438743666E-2</v>
      </c>
    </row>
    <row r="9" spans="1:31">
      <c r="A9" s="11"/>
      <c r="B9" s="4"/>
      <c r="C9" s="4"/>
      <c r="D9" s="4" t="s">
        <v>23</v>
      </c>
      <c r="E9" s="13">
        <v>34.081800000000001</v>
      </c>
      <c r="P9" s="16" t="s">
        <v>22</v>
      </c>
      <c r="Q9" s="36">
        <v>0</v>
      </c>
      <c r="R9" s="35">
        <v>0</v>
      </c>
      <c r="S9" s="4"/>
      <c r="T9" s="16" t="s">
        <v>22</v>
      </c>
      <c r="U9" s="37">
        <v>3.2199999999999999E-2</v>
      </c>
      <c r="V9" s="37">
        <v>2.7247130332623194E-2</v>
      </c>
    </row>
    <row r="10" spans="1:31">
      <c r="A10" s="27"/>
      <c r="B10" s="15"/>
      <c r="C10" s="15"/>
      <c r="D10" s="15" t="s">
        <v>24</v>
      </c>
      <c r="E10" s="14">
        <v>60.076000000000001</v>
      </c>
      <c r="P10" s="16" t="s">
        <v>23</v>
      </c>
      <c r="Q10" s="36">
        <v>0</v>
      </c>
      <c r="R10" s="35">
        <v>0</v>
      </c>
      <c r="S10" s="4"/>
      <c r="T10" s="16" t="s">
        <v>23</v>
      </c>
      <c r="U10" s="37">
        <v>7.7000000000000002E-3</v>
      </c>
      <c r="V10" s="37">
        <v>1.232675321097625E-2</v>
      </c>
    </row>
    <row r="11" spans="1:31">
      <c r="G11" s="43"/>
      <c r="P11" s="16" t="s">
        <v>24</v>
      </c>
      <c r="Q11" s="36">
        <v>0</v>
      </c>
      <c r="R11" s="35">
        <v>0</v>
      </c>
      <c r="S11" s="4"/>
      <c r="T11" s="16" t="s">
        <v>24</v>
      </c>
      <c r="U11" s="37">
        <v>4.0000000000000002E-4</v>
      </c>
      <c r="V11" s="37">
        <v>1.1287465929412288E-3</v>
      </c>
    </row>
    <row r="12" spans="1:31">
      <c r="A12" t="s">
        <v>59</v>
      </c>
      <c r="B12" s="39">
        <v>1050</v>
      </c>
      <c r="C12" s="29" t="s">
        <v>60</v>
      </c>
      <c r="D12" s="29"/>
      <c r="P12" s="17" t="s">
        <v>14</v>
      </c>
      <c r="Q12" s="37">
        <v>1</v>
      </c>
      <c r="R12" s="36">
        <v>0.99999999999999989</v>
      </c>
      <c r="S12" s="4"/>
      <c r="T12" s="17" t="s">
        <v>14</v>
      </c>
      <c r="U12" s="37">
        <v>1.0000000000000002</v>
      </c>
      <c r="V12" s="37">
        <v>0.99999999999999967</v>
      </c>
    </row>
    <row r="13" spans="1:31" ht="15.75">
      <c r="Q13" s="21" t="s">
        <v>33</v>
      </c>
      <c r="R13" s="9"/>
    </row>
    <row r="14" spans="1:31" ht="47.25">
      <c r="A14" s="34" t="s">
        <v>37</v>
      </c>
      <c r="B14" s="3" t="s">
        <v>15</v>
      </c>
      <c r="C14" s="3" t="s">
        <v>36</v>
      </c>
      <c r="D14" s="3" t="s">
        <v>12</v>
      </c>
      <c r="E14" s="3" t="s">
        <v>19</v>
      </c>
      <c r="F14" s="3" t="s">
        <v>21</v>
      </c>
      <c r="Q14" s="20" t="s">
        <v>26</v>
      </c>
      <c r="U14" s="20" t="s">
        <v>29</v>
      </c>
      <c r="X14" s="8" t="s">
        <v>32</v>
      </c>
      <c r="Y14" t="s">
        <v>39</v>
      </c>
      <c r="AA14" s="8" t="s">
        <v>70</v>
      </c>
      <c r="AB14" s="8"/>
      <c r="AC14" s="8"/>
      <c r="AD14" s="8" t="s">
        <v>53</v>
      </c>
    </row>
    <row r="15" spans="1:31">
      <c r="A15" s="1" t="s">
        <v>0</v>
      </c>
      <c r="B15" s="30">
        <f>C15/B3</f>
        <v>72820747.647989348</v>
      </c>
      <c r="C15" s="30">
        <f>D15*1000000</f>
        <v>874650000</v>
      </c>
      <c r="D15" s="30">
        <f>$B$12*Y16</f>
        <v>874.65</v>
      </c>
      <c r="E15" s="30">
        <f>D15*1.10231131</f>
        <v>964.13658729149995</v>
      </c>
      <c r="F15" s="30">
        <f>D15*2204.62262</f>
        <v>1928273.1745830001</v>
      </c>
      <c r="Q15" s="12" t="s">
        <v>28</v>
      </c>
      <c r="R15" s="16" t="s">
        <v>25</v>
      </c>
      <c r="U15" s="12" t="s">
        <v>28</v>
      </c>
      <c r="V15" s="16" t="s">
        <v>25</v>
      </c>
      <c r="X15" s="12" t="s">
        <v>28</v>
      </c>
      <c r="Y15" s="1" t="s">
        <v>25</v>
      </c>
      <c r="AA15" s="1" t="s">
        <v>28</v>
      </c>
      <c r="AB15" s="1" t="s">
        <v>25</v>
      </c>
      <c r="AC15" s="1"/>
      <c r="AD15" s="1" t="s">
        <v>28</v>
      </c>
      <c r="AE15" s="1" t="s">
        <v>25</v>
      </c>
    </row>
    <row r="16" spans="1:31">
      <c r="A16" s="1" t="s">
        <v>2</v>
      </c>
      <c r="B16" s="30">
        <f t="shared" ref="B16:B19" si="0">C16/B4</f>
        <v>41670800.674670108</v>
      </c>
      <c r="C16" s="30">
        <f t="shared" ref="C16:C19" si="1">D16*1000000</f>
        <v>42000000</v>
      </c>
      <c r="D16" s="30">
        <f t="shared" ref="D16:D19" si="2">$B$12*Y17</f>
        <v>42</v>
      </c>
      <c r="E16" s="30">
        <f t="shared" ref="E16:E20" si="3">D16*1.10231131</f>
        <v>46.297075019999994</v>
      </c>
      <c r="F16" s="30">
        <f t="shared" ref="F16:F20" si="4">D16*2204.62262</f>
        <v>92594.150040000008</v>
      </c>
      <c r="P16" s="16" t="s">
        <v>0</v>
      </c>
      <c r="Q16" s="31">
        <v>0.15473916238060254</v>
      </c>
      <c r="R16" s="31">
        <v>0.34874513312436956</v>
      </c>
      <c r="U16" s="31">
        <v>0.31447667942073909</v>
      </c>
      <c r="V16" s="31">
        <v>0.36631948699778788</v>
      </c>
      <c r="X16" s="31">
        <v>0.60179836601989978</v>
      </c>
      <c r="Y16" s="31">
        <v>0.83299999999999996</v>
      </c>
      <c r="AA16" s="31">
        <v>0</v>
      </c>
      <c r="AB16" s="31">
        <v>0</v>
      </c>
      <c r="AC16" s="31"/>
      <c r="AD16" s="31">
        <v>0</v>
      </c>
      <c r="AE16" s="31">
        <v>0</v>
      </c>
    </row>
    <row r="17" spans="1:31">
      <c r="A17" s="1" t="s">
        <v>3</v>
      </c>
      <c r="B17" s="30">
        <f t="shared" si="0"/>
        <v>2913932.1207575477</v>
      </c>
      <c r="C17" s="30">
        <f t="shared" si="1"/>
        <v>46620000.000000007</v>
      </c>
      <c r="D17" s="30">
        <f t="shared" si="2"/>
        <v>46.620000000000005</v>
      </c>
      <c r="E17" s="30">
        <f t="shared" si="3"/>
        <v>51.389753272200004</v>
      </c>
      <c r="F17" s="30">
        <f t="shared" si="4"/>
        <v>102779.50654440002</v>
      </c>
      <c r="P17" s="16" t="s">
        <v>2</v>
      </c>
      <c r="Q17" s="31">
        <v>0.66999755082047519</v>
      </c>
      <c r="R17" s="31">
        <v>0.12671248476827654</v>
      </c>
      <c r="U17" s="31">
        <v>0.2936019760740059</v>
      </c>
      <c r="V17" s="31">
        <v>2.8699136489598036E-2</v>
      </c>
      <c r="X17" s="31">
        <v>0.34437190727538242</v>
      </c>
      <c r="Y17" s="31">
        <v>0.04</v>
      </c>
      <c r="AA17" s="31">
        <v>0</v>
      </c>
      <c r="AB17" s="31">
        <v>0</v>
      </c>
      <c r="AC17" s="31"/>
      <c r="AD17" s="31">
        <v>0.66666666666666663</v>
      </c>
      <c r="AE17" s="31">
        <v>0.11189688478362235</v>
      </c>
    </row>
    <row r="18" spans="1:31">
      <c r="A18" s="1" t="s">
        <v>4</v>
      </c>
      <c r="B18" s="30">
        <f t="shared" si="0"/>
        <v>1589205.3973013493</v>
      </c>
      <c r="C18" s="30">
        <f t="shared" si="1"/>
        <v>22260000</v>
      </c>
      <c r="D18" s="30">
        <f t="shared" si="2"/>
        <v>22.26</v>
      </c>
      <c r="E18" s="30">
        <f t="shared" si="3"/>
        <v>24.537449760600001</v>
      </c>
      <c r="F18" s="30">
        <f t="shared" si="4"/>
        <v>49074.899521200008</v>
      </c>
      <c r="P18" s="16" t="s">
        <v>3</v>
      </c>
      <c r="Q18" s="31">
        <v>0.17095273083517024</v>
      </c>
      <c r="R18" s="31">
        <v>0.51321297550554901</v>
      </c>
      <c r="U18" s="31">
        <v>0.34014626822298638</v>
      </c>
      <c r="V18" s="31">
        <v>0.52777760656625694</v>
      </c>
      <c r="X18" s="31">
        <v>2.4081043460877073E-2</v>
      </c>
      <c r="Y18" s="31">
        <v>4.4400000000000002E-2</v>
      </c>
      <c r="AA18" s="31">
        <f>I40/I42</f>
        <v>0.94329250138233156</v>
      </c>
      <c r="AB18" s="31">
        <f>K40/K42</f>
        <v>0.95</v>
      </c>
      <c r="AC18" s="31"/>
      <c r="AD18" s="31">
        <v>0.33333333333333331</v>
      </c>
      <c r="AE18" s="31">
        <v>0.88810311521637775</v>
      </c>
    </row>
    <row r="19" spans="1:31">
      <c r="A19" s="1" t="s">
        <v>5</v>
      </c>
      <c r="B19" s="30">
        <f t="shared" si="0"/>
        <v>2010540.7596831534</v>
      </c>
      <c r="C19" s="30">
        <f t="shared" si="1"/>
        <v>64470000</v>
      </c>
      <c r="D19" s="30">
        <f t="shared" si="2"/>
        <v>64.47</v>
      </c>
      <c r="E19" s="30">
        <f t="shared" si="3"/>
        <v>71.066010155699999</v>
      </c>
      <c r="F19" s="30">
        <f t="shared" si="4"/>
        <v>142132.0203114</v>
      </c>
      <c r="P19" s="16" t="s">
        <v>4</v>
      </c>
      <c r="Q19" s="31">
        <v>4.3105559637521438E-3</v>
      </c>
      <c r="R19" s="31">
        <v>1.1329406601804943E-2</v>
      </c>
      <c r="U19" s="31">
        <v>4.7851988182302511E-2</v>
      </c>
      <c r="V19" s="31">
        <v>6.5003617438743666E-2</v>
      </c>
      <c r="X19" s="31">
        <v>1.3133361607176033E-2</v>
      </c>
      <c r="Y19" s="31">
        <v>2.12E-2</v>
      </c>
      <c r="AA19" s="31">
        <f>I41/I42</f>
        <v>5.6707498617668411E-2</v>
      </c>
      <c r="AB19" s="31">
        <f>K41/K42</f>
        <v>5.0000000000000072E-2</v>
      </c>
      <c r="AC19" s="31"/>
      <c r="AD19" s="31">
        <v>0</v>
      </c>
      <c r="AE19" s="31">
        <v>0</v>
      </c>
    </row>
    <row r="20" spans="1:31">
      <c r="A20" s="1" t="s">
        <v>14</v>
      </c>
      <c r="B20" s="30">
        <f>SUM(B15:B19)</f>
        <v>121005226.60040151</v>
      </c>
      <c r="C20" s="30">
        <f t="shared" ref="C20:D20" si="5">SUM(C15:C19)</f>
        <v>1050000000</v>
      </c>
      <c r="D20" s="30">
        <f t="shared" si="5"/>
        <v>1050</v>
      </c>
      <c r="E20" s="30">
        <f t="shared" si="3"/>
        <v>1157.4268754999998</v>
      </c>
      <c r="F20" s="30">
        <f t="shared" si="4"/>
        <v>2314853.7510000002</v>
      </c>
      <c r="P20" s="16" t="s">
        <v>5</v>
      </c>
      <c r="Q20" s="31">
        <v>0</v>
      </c>
      <c r="R20" s="31">
        <v>0</v>
      </c>
      <c r="U20" s="31">
        <v>3.923088099966097E-3</v>
      </c>
      <c r="V20" s="31">
        <v>1.2200152507613395E-2</v>
      </c>
      <c r="X20" s="31">
        <v>1.6615321636664591E-2</v>
      </c>
      <c r="Y20" s="31">
        <v>6.1399999999999996E-2</v>
      </c>
      <c r="AA20" s="31">
        <v>0</v>
      </c>
      <c r="AB20" s="31">
        <v>0</v>
      </c>
      <c r="AC20" s="31"/>
      <c r="AD20" s="31">
        <v>0</v>
      </c>
      <c r="AE20" s="31">
        <v>0</v>
      </c>
    </row>
    <row r="21" spans="1:31">
      <c r="P21" s="17" t="s">
        <v>14</v>
      </c>
      <c r="Q21" s="31">
        <f>SUM(Q16:Q20)</f>
        <v>1</v>
      </c>
      <c r="R21" s="31">
        <f t="shared" ref="R21:AE21" si="6">SUM(R16:R20)</f>
        <v>1</v>
      </c>
      <c r="S21" s="31"/>
      <c r="T21" s="31"/>
      <c r="U21" s="31">
        <f t="shared" si="6"/>
        <v>1</v>
      </c>
      <c r="V21" s="31">
        <f t="shared" si="6"/>
        <v>1</v>
      </c>
      <c r="W21" s="31"/>
      <c r="X21" s="31">
        <f t="shared" si="6"/>
        <v>0.99999999999999978</v>
      </c>
      <c r="Y21" s="31">
        <f t="shared" si="6"/>
        <v>1</v>
      </c>
      <c r="Z21" s="31"/>
      <c r="AA21" s="31">
        <f t="shared" si="6"/>
        <v>1</v>
      </c>
      <c r="AB21" s="31">
        <f t="shared" si="6"/>
        <v>1</v>
      </c>
      <c r="AC21" s="31"/>
      <c r="AD21" s="31">
        <f t="shared" si="6"/>
        <v>1</v>
      </c>
      <c r="AE21" s="31">
        <f t="shared" si="6"/>
        <v>1</v>
      </c>
    </row>
    <row r="23" spans="1:31" ht="47.25">
      <c r="A23" s="34" t="s">
        <v>41</v>
      </c>
      <c r="B23" s="3" t="s">
        <v>58</v>
      </c>
      <c r="C23" s="3" t="s">
        <v>20</v>
      </c>
      <c r="D23" s="3" t="s">
        <v>12</v>
      </c>
      <c r="E23" s="3" t="s">
        <v>19</v>
      </c>
      <c r="F23" s="3" t="s">
        <v>21</v>
      </c>
      <c r="H23" s="34" t="s">
        <v>61</v>
      </c>
      <c r="I23" s="3" t="s">
        <v>58</v>
      </c>
      <c r="J23" s="3" t="s">
        <v>20</v>
      </c>
      <c r="K23" s="3" t="s">
        <v>12</v>
      </c>
      <c r="L23" s="3" t="s">
        <v>19</v>
      </c>
      <c r="M23" s="3" t="s">
        <v>21</v>
      </c>
    </row>
    <row r="24" spans="1:31">
      <c r="A24" s="1" t="s">
        <v>7</v>
      </c>
      <c r="B24" s="30">
        <f>$B$20*U4</f>
        <v>75785573.41983147</v>
      </c>
      <c r="C24" s="30">
        <f>B24*E3</f>
        <v>2122753911.4894793</v>
      </c>
      <c r="D24" s="30">
        <f>C24/1000000</f>
        <v>2122.7539114894794</v>
      </c>
      <c r="E24" s="30">
        <f>D24*1.10231131</f>
        <v>2339.9356449815918</v>
      </c>
      <c r="F24" s="30">
        <f>D24*2204.62262</f>
        <v>4679871.2899631839</v>
      </c>
      <c r="H24" s="1" t="s">
        <v>0</v>
      </c>
      <c r="I24" s="30">
        <f>B24+B25+B26+B31</f>
        <v>78568693.631640702</v>
      </c>
      <c r="J24" s="30">
        <f>I24*B3</f>
        <v>943688579.20963645</v>
      </c>
      <c r="K24" s="30">
        <f>J24/1000000</f>
        <v>943.68857920963649</v>
      </c>
      <c r="L24" s="30">
        <f>K24*1.10231131</f>
        <v>1040.2385939806131</v>
      </c>
      <c r="M24" s="30">
        <f>L24*2204.62262</f>
        <v>2293333.5344866556</v>
      </c>
    </row>
    <row r="25" spans="1:31">
      <c r="A25" s="1" t="s">
        <v>8</v>
      </c>
      <c r="B25" s="30">
        <f t="shared" ref="B25:B31" si="7">$B$20*U5</f>
        <v>2625813.4172287127</v>
      </c>
      <c r="C25" s="30">
        <f t="shared" ref="C25:C31" si="8">B25*E4</f>
        <v>115559422.67881842</v>
      </c>
      <c r="D25" s="30">
        <f t="shared" ref="D25:D31" si="9">C25/1000000</f>
        <v>115.55942267881842</v>
      </c>
      <c r="E25" s="30">
        <f t="shared" ref="E25:E31" si="10">D25*1.10231131</f>
        <v>127.38245859593204</v>
      </c>
      <c r="F25" s="30">
        <f t="shared" ref="F25:F31" si="11">D25*2204.62262</f>
        <v>254764.91719186411</v>
      </c>
      <c r="H25" s="1" t="s">
        <v>2</v>
      </c>
      <c r="I25" s="30">
        <f>(4*B26)+(2*B27)+(2*B29)+(2*B30)</f>
        <v>73353368.365163401</v>
      </c>
      <c r="J25" s="30">
        <f t="shared" ref="J25:J28" si="12">I25*B4</f>
        <v>73932859.975248188</v>
      </c>
      <c r="K25" s="30">
        <f t="shared" ref="K25:K28" si="13">J25/1000000</f>
        <v>73.932859975248192</v>
      </c>
      <c r="L25" s="30">
        <f t="shared" ref="L25:L28" si="14">K25*1.10231131</f>
        <v>81.497027731362394</v>
      </c>
      <c r="M25" s="30">
        <f t="shared" ref="M25:M28" si="15">L25*2204.62262</f>
        <v>179670.19079932882</v>
      </c>
    </row>
    <row r="26" spans="1:31">
      <c r="A26" s="1" t="s">
        <v>9</v>
      </c>
      <c r="B26" s="30">
        <f t="shared" si="7"/>
        <v>108904.70394036135</v>
      </c>
      <c r="C26" s="30">
        <f t="shared" si="8"/>
        <v>1747114.6034336409</v>
      </c>
      <c r="D26" s="30">
        <f t="shared" si="9"/>
        <v>1.7471146034336409</v>
      </c>
      <c r="E26" s="30">
        <f t="shared" si="10"/>
        <v>1.9258641872310671</v>
      </c>
      <c r="F26" s="30">
        <f t="shared" si="11"/>
        <v>3851.7283744621345</v>
      </c>
      <c r="H26" s="1" t="s">
        <v>3</v>
      </c>
      <c r="I26" s="30">
        <f>B24+(2*B25)+B29+B31</f>
        <v>84981970.641461983</v>
      </c>
      <c r="J26" s="30">
        <f t="shared" si="12"/>
        <v>1359626548.2927504</v>
      </c>
      <c r="K26" s="30">
        <f t="shared" si="13"/>
        <v>1359.6265482927504</v>
      </c>
      <c r="L26" s="30">
        <f t="shared" si="14"/>
        <v>1498.7317215593598</v>
      </c>
      <c r="M26" s="30">
        <f t="shared" si="15"/>
        <v>3304137.8546613064</v>
      </c>
    </row>
    <row r="27" spans="1:31">
      <c r="A27" s="1" t="s">
        <v>10</v>
      </c>
      <c r="B27" s="30">
        <f t="shared" si="7"/>
        <v>31630766.233344957</v>
      </c>
      <c r="C27" s="30">
        <f t="shared" si="8"/>
        <v>63761298.573176764</v>
      </c>
      <c r="D27" s="30">
        <f t="shared" si="9"/>
        <v>63.761298573176767</v>
      </c>
      <c r="E27" s="30">
        <f t="shared" si="10"/>
        <v>70.284800557499608</v>
      </c>
      <c r="F27" s="30">
        <f t="shared" si="11"/>
        <v>140569.60111499924</v>
      </c>
      <c r="H27" s="1" t="s">
        <v>4</v>
      </c>
      <c r="I27" s="30">
        <f>2*B28</f>
        <v>11955316.38811967</v>
      </c>
      <c r="J27" s="30">
        <f t="shared" si="12"/>
        <v>167458116.6483922</v>
      </c>
      <c r="K27" s="30">
        <f t="shared" si="13"/>
        <v>167.45811664839221</v>
      </c>
      <c r="L27" s="30">
        <f t="shared" si="14"/>
        <v>184.590975932822</v>
      </c>
      <c r="M27" s="30">
        <f t="shared" si="15"/>
        <v>406953.440989375</v>
      </c>
    </row>
    <row r="28" spans="1:31">
      <c r="A28" s="1" t="s">
        <v>11</v>
      </c>
      <c r="B28" s="30">
        <f t="shared" si="7"/>
        <v>5977658.1940598348</v>
      </c>
      <c r="C28" s="30">
        <f t="shared" si="8"/>
        <v>167458116.6483922</v>
      </c>
      <c r="D28" s="30">
        <f t="shared" si="9"/>
        <v>167.45811664839221</v>
      </c>
      <c r="E28" s="30">
        <f t="shared" si="10"/>
        <v>184.590975932822</v>
      </c>
      <c r="F28" s="30">
        <f t="shared" si="11"/>
        <v>369181.95186564408</v>
      </c>
      <c r="H28" s="1" t="s">
        <v>5</v>
      </c>
      <c r="I28" s="30">
        <f>B30+B31</f>
        <v>980142.33546325227</v>
      </c>
      <c r="J28" s="30">
        <f t="shared" si="12"/>
        <v>31429244.128964651</v>
      </c>
      <c r="K28" s="30">
        <f t="shared" si="13"/>
        <v>31.429244128964651</v>
      </c>
      <c r="L28" s="30">
        <f t="shared" si="14"/>
        <v>34.644811268108832</v>
      </c>
      <c r="M28" s="30">
        <f t="shared" si="15"/>
        <v>76378.734587303625</v>
      </c>
    </row>
    <row r="29" spans="1:31">
      <c r="A29" s="1" t="s">
        <v>22</v>
      </c>
      <c r="B29" s="30">
        <f t="shared" si="7"/>
        <v>3896368.2965329285</v>
      </c>
      <c r="C29" s="30">
        <f t="shared" si="8"/>
        <v>70192295.58838141</v>
      </c>
      <c r="D29" s="30">
        <f t="shared" si="9"/>
        <v>70.192295588381413</v>
      </c>
      <c r="E29" s="30">
        <f t="shared" si="10"/>
        <v>77.373761301935929</v>
      </c>
      <c r="F29" s="30">
        <f t="shared" si="11"/>
        <v>154747.52260387188</v>
      </c>
      <c r="H29" s="1" t="s">
        <v>14</v>
      </c>
      <c r="I29" s="30">
        <f>SUM(I24:I28)</f>
        <v>249839491.36184901</v>
      </c>
      <c r="J29" s="30">
        <f>SUM(J24:J28)</f>
        <v>2576135348.2549915</v>
      </c>
      <c r="K29" s="30">
        <f>SUM(K24:K28)</f>
        <v>2576.1353482549916</v>
      </c>
      <c r="L29" s="30">
        <f>SUM(L24:L28)</f>
        <v>2839.7031304722659</v>
      </c>
      <c r="M29" s="30">
        <f>SUM(M24:M28)</f>
        <v>6260473.7555239694</v>
      </c>
    </row>
    <row r="30" spans="1:31">
      <c r="A30" s="1" t="s">
        <v>23</v>
      </c>
      <c r="B30" s="30">
        <f t="shared" si="7"/>
        <v>931740.24482309166</v>
      </c>
      <c r="C30" s="30">
        <f t="shared" si="8"/>
        <v>31755384.676011648</v>
      </c>
      <c r="D30" s="30">
        <f t="shared" si="9"/>
        <v>31.755384676011648</v>
      </c>
      <c r="E30" s="30">
        <f t="shared" si="10"/>
        <v>35.004319681768322</v>
      </c>
      <c r="F30" s="30">
        <f t="shared" si="11"/>
        <v>70008.639363536655</v>
      </c>
    </row>
    <row r="31" spans="1:31">
      <c r="A31" s="1" t="s">
        <v>24</v>
      </c>
      <c r="B31" s="30">
        <f t="shared" si="7"/>
        <v>48402.090640160604</v>
      </c>
      <c r="C31" s="30">
        <f t="shared" si="8"/>
        <v>2907803.9972982886</v>
      </c>
      <c r="D31" s="30">
        <f t="shared" si="9"/>
        <v>2.9078039972982888</v>
      </c>
      <c r="E31" s="30">
        <f t="shared" si="10"/>
        <v>3.2053052334851131</v>
      </c>
      <c r="F31" s="30">
        <f t="shared" si="11"/>
        <v>6410.6104669702263</v>
      </c>
    </row>
    <row r="32" spans="1:31">
      <c r="A32" s="1" t="s">
        <v>14</v>
      </c>
      <c r="B32" s="30">
        <f>SUM(B24:B31)</f>
        <v>121005226.60040152</v>
      </c>
      <c r="C32" s="30">
        <f>SUM(C24:C31)</f>
        <v>2576135348.2549915</v>
      </c>
      <c r="D32" s="30">
        <f>SUM(D24:D31)</f>
        <v>2576.1353482549916</v>
      </c>
      <c r="E32" s="30">
        <f>SUM(E24:E31)</f>
        <v>2839.7031304722655</v>
      </c>
      <c r="F32" s="30">
        <f>SUM(F24:F31)</f>
        <v>5679406.2609445332</v>
      </c>
    </row>
    <row r="34" spans="1:13" ht="47.25">
      <c r="A34" s="34" t="s">
        <v>63</v>
      </c>
      <c r="B34" s="3" t="s">
        <v>58</v>
      </c>
      <c r="C34" s="3" t="s">
        <v>20</v>
      </c>
      <c r="D34" s="3" t="s">
        <v>12</v>
      </c>
      <c r="E34" s="3" t="s">
        <v>19</v>
      </c>
      <c r="F34" s="3" t="s">
        <v>21</v>
      </c>
      <c r="H34" s="34" t="s">
        <v>64</v>
      </c>
      <c r="I34" s="3" t="s">
        <v>58</v>
      </c>
      <c r="J34" s="3" t="s">
        <v>20</v>
      </c>
      <c r="K34" s="3" t="s">
        <v>12</v>
      </c>
      <c r="L34" s="3" t="s">
        <v>19</v>
      </c>
      <c r="M34" s="3" t="s">
        <v>21</v>
      </c>
    </row>
    <row r="35" spans="1:13">
      <c r="A35" s="1" t="s">
        <v>22</v>
      </c>
      <c r="B35" s="30">
        <f>((2*B26)+B27+B29+B30)-(0.5*B16)</f>
        <v>15841283.845246647</v>
      </c>
      <c r="C35" s="30">
        <f>B35*E8</f>
        <v>285377560.21534932</v>
      </c>
      <c r="D35" s="30">
        <f>C35/1000000</f>
        <v>285.37756021534932</v>
      </c>
      <c r="E35" s="30">
        <f>D35*1.10231131</f>
        <v>314.57491224558555</v>
      </c>
      <c r="F35" s="30">
        <f>E35*2204.62262</f>
        <v>693518.96722113295</v>
      </c>
      <c r="H35" s="1" t="s">
        <v>2</v>
      </c>
      <c r="I35" s="30">
        <f>2*B35</f>
        <v>31682567.690493293</v>
      </c>
      <c r="J35" s="30">
        <f>I35*B4</f>
        <v>31932859.975248192</v>
      </c>
      <c r="K35" s="30">
        <f>J35/1000000</f>
        <v>31.932859975248192</v>
      </c>
      <c r="L35" s="30">
        <f>K35*1.10231131</f>
        <v>35.1999527113624</v>
      </c>
      <c r="M35" s="30">
        <f>L35*2204.62262</f>
        <v>77602.611970399885</v>
      </c>
    </row>
    <row r="36" spans="1:13">
      <c r="H36" s="1" t="s">
        <v>3</v>
      </c>
      <c r="I36" s="30">
        <f>B35</f>
        <v>15841283.845246647</v>
      </c>
      <c r="J36" s="30">
        <f>I36*B5</f>
        <v>253444700.2401011</v>
      </c>
      <c r="K36" s="30">
        <f>J36/1000000</f>
        <v>253.4447002401011</v>
      </c>
      <c r="L36" s="30">
        <f>K36*1.10231131</f>
        <v>279.37495953422314</v>
      </c>
      <c r="M36" s="30">
        <f>L36*2204.62262</f>
        <v>615916.35525073297</v>
      </c>
    </row>
    <row r="37" spans="1:13">
      <c r="H37" s="1" t="s">
        <v>14</v>
      </c>
      <c r="I37" s="30">
        <f>SUM(I35:I36)</f>
        <v>47523851.535739943</v>
      </c>
      <c r="J37" s="30">
        <f>SUM(J35:J36)</f>
        <v>285377560.21534932</v>
      </c>
      <c r="K37" s="30">
        <f>SUM(K35:K36)</f>
        <v>285.37756021534926</v>
      </c>
      <c r="L37" s="30">
        <f t="shared" ref="L37:M37" si="16">SUM(L35:L36)</f>
        <v>314.57491224558555</v>
      </c>
      <c r="M37" s="30">
        <f t="shared" si="16"/>
        <v>693518.96722113283</v>
      </c>
    </row>
    <row r="39" spans="1:13" ht="63">
      <c r="A39" s="34" t="s">
        <v>65</v>
      </c>
      <c r="B39" s="3" t="s">
        <v>15</v>
      </c>
      <c r="C39" s="3" t="s">
        <v>20</v>
      </c>
      <c r="D39" s="3" t="s">
        <v>12</v>
      </c>
      <c r="E39" s="3" t="s">
        <v>19</v>
      </c>
      <c r="F39" s="3" t="s">
        <v>21</v>
      </c>
      <c r="H39" s="34" t="s">
        <v>66</v>
      </c>
      <c r="I39" s="3" t="s">
        <v>15</v>
      </c>
      <c r="J39" s="3" t="s">
        <v>20</v>
      </c>
      <c r="K39" s="3" t="s">
        <v>12</v>
      </c>
      <c r="L39" s="3" t="s">
        <v>19</v>
      </c>
      <c r="M39" s="3" t="s">
        <v>21</v>
      </c>
    </row>
    <row r="40" spans="1:13">
      <c r="A40" s="1" t="s">
        <v>62</v>
      </c>
      <c r="B40" s="30">
        <f>((0.5*B24)+B25+(0.5*B29)+(0.5*B31))-(0.5*B35)-(0.5*B17)</f>
        <v>33113377.337728895</v>
      </c>
      <c r="C40" s="30">
        <f>B40*(2*B5)</f>
        <v>1059561848.0526493</v>
      </c>
      <c r="D40" s="30">
        <f>C40/1000000</f>
        <v>1059.5618480526493</v>
      </c>
      <c r="E40" s="30">
        <f>D40*1.10231131</f>
        <v>1167.9670087529369</v>
      </c>
      <c r="F40" s="30">
        <f>E40*2204.62262</f>
        <v>2574926.4869104628</v>
      </c>
      <c r="H40" s="1" t="s">
        <v>3</v>
      </c>
      <c r="I40" s="30">
        <f>2*B40</f>
        <v>66226754.67545779</v>
      </c>
      <c r="J40" s="30">
        <f>I40*B5</f>
        <v>1059561848.0526493</v>
      </c>
      <c r="K40" s="30">
        <f>J40/1000000</f>
        <v>1059.5618480526493</v>
      </c>
      <c r="L40" s="30">
        <f>K40*1.10231131</f>
        <v>1167.9670087529369</v>
      </c>
      <c r="M40" s="30">
        <f>L40*2204.62262</f>
        <v>2574926.4869104628</v>
      </c>
    </row>
    <row r="41" spans="1:13">
      <c r="A41" s="1" t="s">
        <v>54</v>
      </c>
      <c r="B41" s="30">
        <f>B40+((C41-C40)/(2*B6))</f>
        <v>35104039.615711428</v>
      </c>
      <c r="C41" s="30">
        <f>C40/0.95</f>
        <v>1115328261.108052</v>
      </c>
      <c r="D41" s="30">
        <f>C41/1000000</f>
        <v>1115.3282611080519</v>
      </c>
      <c r="E41" s="30">
        <f>D41*1.10231131</f>
        <v>1229.4389565820388</v>
      </c>
      <c r="F41" s="30">
        <f>E41*2204.62262</f>
        <v>2710448.9335899609</v>
      </c>
      <c r="H41" s="1" t="s">
        <v>4</v>
      </c>
      <c r="I41" s="30">
        <f>2*B42</f>
        <v>3981324.555965066</v>
      </c>
      <c r="J41" s="30">
        <f>I41*B6</f>
        <v>55766413.055402681</v>
      </c>
      <c r="K41" s="30">
        <f>J41/1000000</f>
        <v>55.76641305540268</v>
      </c>
      <c r="L41" s="30">
        <f>K41*1.10231131</f>
        <v>61.471947829102028</v>
      </c>
      <c r="M41" s="30">
        <f>L41*2204.62262</f>
        <v>135522.44667949824</v>
      </c>
    </row>
    <row r="42" spans="1:13">
      <c r="A42" s="1" t="s">
        <v>11</v>
      </c>
      <c r="B42" s="30">
        <f>B41-B40</f>
        <v>1990662.277982533</v>
      </c>
      <c r="C42" s="30">
        <f>C41-C40</f>
        <v>55766413.055402756</v>
      </c>
      <c r="D42" s="30">
        <f>D41-D40</f>
        <v>55.766413055402609</v>
      </c>
      <c r="E42" s="30">
        <f>E41-E40</f>
        <v>61.471947829101964</v>
      </c>
      <c r="F42" s="30">
        <f>F41-F40</f>
        <v>135522.44667949807</v>
      </c>
      <c r="H42" s="1" t="s">
        <v>14</v>
      </c>
      <c r="I42" s="30">
        <f>SUM(I40:I41)</f>
        <v>70208079.231422856</v>
      </c>
      <c r="J42" s="30">
        <f>SUM(J40:J41)</f>
        <v>1115328261.108052</v>
      </c>
      <c r="K42" s="30">
        <f>SUM(K40:K41)</f>
        <v>1115.3282611080519</v>
      </c>
      <c r="L42" s="30">
        <f>SUM(L40:L41)</f>
        <v>1229.4389565820388</v>
      </c>
      <c r="M42" s="30">
        <f>SUM(M40:M41)</f>
        <v>2710448.9335899609</v>
      </c>
    </row>
    <row r="45" spans="1:13" ht="47.25">
      <c r="A45" s="34" t="s">
        <v>38</v>
      </c>
      <c r="B45" s="3" t="s">
        <v>15</v>
      </c>
      <c r="C45" s="3" t="s">
        <v>20</v>
      </c>
      <c r="D45" s="3" t="s">
        <v>12</v>
      </c>
      <c r="E45" s="3" t="s">
        <v>19</v>
      </c>
      <c r="F45" s="3" t="s">
        <v>21</v>
      </c>
      <c r="H45" s="34" t="s">
        <v>38</v>
      </c>
      <c r="I45" s="3" t="s">
        <v>15</v>
      </c>
      <c r="J45" s="3" t="s">
        <v>20</v>
      </c>
      <c r="K45" s="3" t="s">
        <v>12</v>
      </c>
      <c r="L45" s="3" t="s">
        <v>19</v>
      </c>
      <c r="M45" s="3" t="s">
        <v>21</v>
      </c>
    </row>
    <row r="46" spans="1:13">
      <c r="A46" s="1" t="s">
        <v>7</v>
      </c>
      <c r="B46" s="30">
        <f>B24</f>
        <v>75785573.41983147</v>
      </c>
      <c r="C46" s="30">
        <f>B46*E3</f>
        <v>2122753911.4894793</v>
      </c>
      <c r="D46" s="30">
        <f>C46/1000000</f>
        <v>2122.7539114894794</v>
      </c>
      <c r="E46" s="30">
        <f>D46*1.10231131</f>
        <v>2339.9356449815918</v>
      </c>
      <c r="F46" s="30">
        <f>E46*2204.62262</f>
        <v>5158675.0522707067</v>
      </c>
      <c r="H46" s="1" t="s">
        <v>0</v>
      </c>
      <c r="I46" s="30">
        <f>B46+B47+B53</f>
        <v>85360778.676034153</v>
      </c>
      <c r="J46" s="30">
        <f>I46*B3</f>
        <v>1025268312.6778462</v>
      </c>
      <c r="K46" s="30">
        <f>J46/1000000</f>
        <v>1025.2683126778461</v>
      </c>
      <c r="L46" s="30">
        <f>K46*1.10231131</f>
        <v>1130.1648568494061</v>
      </c>
      <c r="M46" s="30">
        <f>L46*2204.62262</f>
        <v>2491587.0077392627</v>
      </c>
    </row>
    <row r="47" spans="1:13">
      <c r="A47" s="1" t="s">
        <v>74</v>
      </c>
      <c r="B47" s="30">
        <f>B46*(Q5/Q4)</f>
        <v>9575205.2562026829</v>
      </c>
      <c r="C47" s="30">
        <f>B47*E4</f>
        <v>421395208.12022388</v>
      </c>
      <c r="D47" s="30">
        <f t="shared" ref="D47:D53" si="17">C47/1000000</f>
        <v>421.39520812022386</v>
      </c>
      <c r="E47" s="30">
        <f t="shared" ref="E47:E53" si="18">D47*1.10231131</f>
        <v>464.50870389072657</v>
      </c>
      <c r="F47" s="30">
        <f t="shared" ref="F47:F53" si="19">E47*2204.62262</f>
        <v>1024066.3957843778</v>
      </c>
      <c r="H47" s="1" t="s">
        <v>2</v>
      </c>
      <c r="I47" s="30">
        <f>(4*B48)+(2*B49)+(2*B51)+(2*B52)</f>
        <v>370223517.26127076</v>
      </c>
      <c r="J47" s="30">
        <f t="shared" ref="J47:J49" si="20">I47*B4</f>
        <v>373148283.04763478</v>
      </c>
      <c r="K47" s="30">
        <f t="shared" ref="K47:K50" si="21">J47/1000000</f>
        <v>373.14828304763478</v>
      </c>
      <c r="L47" s="30">
        <f t="shared" ref="L47:L50" si="22">K47*1.10231131</f>
        <v>411.32557271048904</v>
      </c>
      <c r="M47" s="30">
        <f t="shared" ref="M47:M50" si="23">L47*2204.62262</f>
        <v>906817.66178199893</v>
      </c>
    </row>
    <row r="48" spans="1:13">
      <c r="A48" s="1" t="s">
        <v>9</v>
      </c>
      <c r="B48" s="30">
        <f>B26</f>
        <v>108904.70394036135</v>
      </c>
      <c r="C48" s="30">
        <f>B48*E5</f>
        <v>1747114.6034336409</v>
      </c>
      <c r="D48" s="30">
        <f t="shared" si="17"/>
        <v>1.7471146034336409</v>
      </c>
      <c r="E48" s="30">
        <f t="shared" si="18"/>
        <v>1.9258641872310671</v>
      </c>
      <c r="F48" s="30">
        <f t="shared" si="19"/>
        <v>4245.8037502175257</v>
      </c>
      <c r="H48" s="1" t="s">
        <v>3</v>
      </c>
      <c r="I48" s="30">
        <f>B46+(2*B47)+B51+B53</f>
        <v>94935983.932236835</v>
      </c>
      <c r="J48" s="30">
        <f t="shared" si="20"/>
        <v>1518880806.9318571</v>
      </c>
      <c r="K48" s="30">
        <f t="shared" si="21"/>
        <v>1518.880806931857</v>
      </c>
      <c r="L48" s="30">
        <f t="shared" si="22"/>
        <v>1674.2794920229123</v>
      </c>
      <c r="M48" s="30">
        <f t="shared" si="23"/>
        <v>3691154.4403158221</v>
      </c>
    </row>
    <row r="49" spans="1:13">
      <c r="A49" s="1" t="s">
        <v>75</v>
      </c>
      <c r="B49" s="30">
        <f>B46*(Q7/Q4)</f>
        <v>184893949.22275466</v>
      </c>
      <c r="C49" s="30">
        <f t="shared" ref="C49:C53" si="24">B49*E6</f>
        <v>372709222.84322882</v>
      </c>
      <c r="D49" s="30">
        <f t="shared" si="17"/>
        <v>372.70922284322882</v>
      </c>
      <c r="E49" s="30">
        <f t="shared" si="18"/>
        <v>410.84159168140144</v>
      </c>
      <c r="F49" s="30">
        <f t="shared" si="19"/>
        <v>905750.66625762149</v>
      </c>
      <c r="H49" s="1" t="s">
        <v>4</v>
      </c>
      <c r="I49" s="30">
        <f>2*B50</f>
        <v>11955316.38811967</v>
      </c>
      <c r="J49" s="30">
        <f t="shared" si="20"/>
        <v>167458116.6483922</v>
      </c>
      <c r="K49" s="30">
        <f t="shared" si="21"/>
        <v>167.45811664839221</v>
      </c>
      <c r="L49" s="30">
        <f t="shared" si="22"/>
        <v>184.590975932822</v>
      </c>
      <c r="M49" s="30">
        <f t="shared" si="23"/>
        <v>406953.440989375</v>
      </c>
    </row>
    <row r="50" spans="1:13">
      <c r="A50" s="1" t="s">
        <v>11</v>
      </c>
      <c r="B50" s="30">
        <f>B28</f>
        <v>5977658.1940598348</v>
      </c>
      <c r="C50" s="30">
        <f t="shared" si="24"/>
        <v>167458116.6483922</v>
      </c>
      <c r="D50" s="30">
        <f t="shared" si="17"/>
        <v>167.45811664839221</v>
      </c>
      <c r="E50" s="30">
        <f t="shared" si="18"/>
        <v>184.590975932822</v>
      </c>
      <c r="F50" s="30">
        <f t="shared" si="19"/>
        <v>406953.440989375</v>
      </c>
      <c r="H50" s="1" t="s">
        <v>5</v>
      </c>
      <c r="I50" s="30">
        <f>B52+B53</f>
        <v>0</v>
      </c>
      <c r="J50" s="30">
        <f>C52+C53</f>
        <v>0</v>
      </c>
      <c r="K50" s="30">
        <f t="shared" si="21"/>
        <v>0</v>
      </c>
      <c r="L50" s="30">
        <f t="shared" si="22"/>
        <v>0</v>
      </c>
      <c r="M50" s="30">
        <f t="shared" si="23"/>
        <v>0</v>
      </c>
    </row>
    <row r="51" spans="1:13">
      <c r="A51" s="1" t="s">
        <v>22</v>
      </c>
      <c r="B51" s="30">
        <v>0</v>
      </c>
      <c r="C51" s="30">
        <f t="shared" si="24"/>
        <v>0</v>
      </c>
      <c r="D51" s="30">
        <f t="shared" si="17"/>
        <v>0</v>
      </c>
      <c r="E51" s="30">
        <f t="shared" si="18"/>
        <v>0</v>
      </c>
      <c r="F51" s="30">
        <f t="shared" si="19"/>
        <v>0</v>
      </c>
      <c r="H51" s="1" t="s">
        <v>14</v>
      </c>
      <c r="I51" s="30">
        <f>SUM(I46:I50)</f>
        <v>562475596.25766146</v>
      </c>
      <c r="J51" s="30">
        <f>SUM(J46:J50)</f>
        <v>3084755519.3057303</v>
      </c>
      <c r="K51" s="30">
        <f t="shared" ref="K51:M51" si="25">SUM(K46:K50)</f>
        <v>3084.7555193057301</v>
      </c>
      <c r="L51" s="30">
        <f t="shared" si="25"/>
        <v>3400.3608975156294</v>
      </c>
      <c r="M51" s="30">
        <f t="shared" si="25"/>
        <v>7496512.5508264583</v>
      </c>
    </row>
    <row r="52" spans="1:13">
      <c r="A52" s="1" t="s">
        <v>23</v>
      </c>
      <c r="B52" s="30">
        <v>0</v>
      </c>
      <c r="C52" s="30">
        <f t="shared" si="24"/>
        <v>0</v>
      </c>
      <c r="D52" s="30">
        <f t="shared" si="17"/>
        <v>0</v>
      </c>
      <c r="E52" s="30">
        <f t="shared" si="18"/>
        <v>0</v>
      </c>
      <c r="F52" s="30">
        <f t="shared" si="19"/>
        <v>0</v>
      </c>
    </row>
    <row r="53" spans="1:13">
      <c r="A53" s="1" t="s">
        <v>24</v>
      </c>
      <c r="B53" s="30">
        <v>0</v>
      </c>
      <c r="C53" s="30">
        <f t="shared" si="24"/>
        <v>0</v>
      </c>
      <c r="D53" s="30">
        <f t="shared" si="17"/>
        <v>0</v>
      </c>
      <c r="E53" s="30">
        <f t="shared" si="18"/>
        <v>0</v>
      </c>
      <c r="F53" s="30">
        <f t="shared" si="19"/>
        <v>0</v>
      </c>
      <c r="I53" s="30"/>
    </row>
    <row r="54" spans="1:13">
      <c r="A54" s="1" t="s">
        <v>14</v>
      </c>
      <c r="B54" s="30">
        <f>SUM(B46:B50)</f>
        <v>276341290.79678905</v>
      </c>
      <c r="C54" s="30">
        <f t="shared" ref="C54:F54" si="26">SUM(C46:C50)</f>
        <v>3086063573.7047577</v>
      </c>
      <c r="D54" s="30">
        <f t="shared" si="26"/>
        <v>3086.0635737047578</v>
      </c>
      <c r="E54" s="30">
        <f t="shared" si="26"/>
        <v>3401.8027806737728</v>
      </c>
      <c r="F54" s="30">
        <f t="shared" si="26"/>
        <v>7499691.3590522995</v>
      </c>
    </row>
    <row r="57" spans="1:13" ht="30">
      <c r="A57" s="38" t="s">
        <v>71</v>
      </c>
    </row>
    <row r="58" spans="1:13" ht="45">
      <c r="A58" s="38" t="s">
        <v>73</v>
      </c>
      <c r="B58" s="1" t="s">
        <v>51</v>
      </c>
      <c r="C58" s="1" t="s">
        <v>53</v>
      </c>
      <c r="D58" s="1" t="s">
        <v>54</v>
      </c>
      <c r="E58" s="1" t="s">
        <v>57</v>
      </c>
      <c r="F58" s="1" t="s">
        <v>56</v>
      </c>
      <c r="G58" s="1" t="s">
        <v>55</v>
      </c>
    </row>
    <row r="59" spans="1:13">
      <c r="A59" s="1" t="s">
        <v>72</v>
      </c>
      <c r="B59" s="30">
        <f>B12</f>
        <v>1050</v>
      </c>
      <c r="C59" s="30">
        <f>K37</f>
        <v>285.37756021534926</v>
      </c>
      <c r="D59" s="30">
        <f>D41</f>
        <v>1115.3282611080519</v>
      </c>
      <c r="E59" s="30">
        <f>SUM(B59:D59)</f>
        <v>2450.7058213234013</v>
      </c>
      <c r="F59" s="30">
        <f>D32</f>
        <v>2576.1353482549916</v>
      </c>
      <c r="G59" s="30">
        <f>D54</f>
        <v>3086.0635737047578</v>
      </c>
      <c r="H59" t="s">
        <v>76</v>
      </c>
    </row>
    <row r="60" spans="1:13">
      <c r="A60" t="s">
        <v>0</v>
      </c>
      <c r="B60" s="30">
        <f>$B$59*Y16</f>
        <v>874.65</v>
      </c>
      <c r="C60" s="30">
        <f>$C$59*AE16</f>
        <v>0</v>
      </c>
      <c r="D60" s="30">
        <f>$D$59*AB16</f>
        <v>0</v>
      </c>
      <c r="E60" s="44">
        <f>SUM(B60:D60)</f>
        <v>874.65</v>
      </c>
      <c r="F60" s="44">
        <f>$F$59*V16</f>
        <v>943.68857920963615</v>
      </c>
      <c r="G60" s="30">
        <f>$G$59*R16</f>
        <v>1076.2496518419334</v>
      </c>
    </row>
    <row r="61" spans="1:13">
      <c r="A61" t="s">
        <v>2</v>
      </c>
      <c r="B61" s="30">
        <f t="shared" ref="B61:B64" si="27">$B$59*Y17</f>
        <v>42</v>
      </c>
      <c r="C61" s="30">
        <f t="shared" ref="C61:C64" si="28">$C$59*AE17</f>
        <v>31.932859975248185</v>
      </c>
      <c r="D61" s="30">
        <f t="shared" ref="D61:D64" si="29">$D$59*AB17</f>
        <v>0</v>
      </c>
      <c r="E61" s="30">
        <f t="shared" ref="E61:E64" si="30">SUM(B61:D61)</f>
        <v>73.932859975248192</v>
      </c>
      <c r="F61" s="30">
        <f t="shared" ref="F61:F64" si="31">$F$59*V17</f>
        <v>73.932859975248178</v>
      </c>
      <c r="G61" s="30">
        <f t="shared" ref="G61:G64" si="32">$G$59*R17</f>
        <v>391.04278357699718</v>
      </c>
    </row>
    <row r="62" spans="1:13">
      <c r="A62" t="s">
        <v>3</v>
      </c>
      <c r="B62" s="30">
        <f t="shared" si="27"/>
        <v>46.620000000000005</v>
      </c>
      <c r="C62" s="30">
        <f t="shared" si="28"/>
        <v>253.4447002401011</v>
      </c>
      <c r="D62" s="30">
        <f t="shared" si="29"/>
        <v>1059.5618480526493</v>
      </c>
      <c r="E62" s="30">
        <f t="shared" si="30"/>
        <v>1359.6265482927504</v>
      </c>
      <c r="F62" s="30">
        <f t="shared" si="31"/>
        <v>1359.6265482927504</v>
      </c>
      <c r="G62" s="30">
        <f t="shared" si="32"/>
        <v>1583.8078692603069</v>
      </c>
    </row>
    <row r="63" spans="1:13">
      <c r="A63" t="s">
        <v>4</v>
      </c>
      <c r="B63" s="30">
        <f t="shared" si="27"/>
        <v>22.26</v>
      </c>
      <c r="C63" s="30">
        <f t="shared" si="28"/>
        <v>0</v>
      </c>
      <c r="D63" s="30">
        <f t="shared" si="29"/>
        <v>55.76641305540268</v>
      </c>
      <c r="E63" s="30">
        <f t="shared" si="30"/>
        <v>78.026413055402685</v>
      </c>
      <c r="F63" s="30">
        <f t="shared" si="31"/>
        <v>167.45811664839215</v>
      </c>
      <c r="G63" s="30">
        <f t="shared" si="32"/>
        <v>34.963269025520439</v>
      </c>
    </row>
    <row r="64" spans="1:13">
      <c r="A64" t="s">
        <v>5</v>
      </c>
      <c r="B64" s="30">
        <f t="shared" si="27"/>
        <v>64.47</v>
      </c>
      <c r="C64" s="30">
        <f t="shared" si="28"/>
        <v>0</v>
      </c>
      <c r="D64" s="30">
        <f t="shared" si="29"/>
        <v>0</v>
      </c>
      <c r="E64" s="30">
        <f t="shared" si="30"/>
        <v>64.47</v>
      </c>
      <c r="F64" s="30">
        <f t="shared" si="31"/>
        <v>31.42924412896464</v>
      </c>
      <c r="G64" s="30">
        <f t="shared" si="32"/>
        <v>0</v>
      </c>
    </row>
    <row r="66" spans="5:5">
      <c r="E66" s="45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Reverse Basis</vt:lpstr>
      <vt:lpstr>Forward Basis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2011-02-10T04:42:11Z</dcterms:created>
  <dcterms:modified xsi:type="dcterms:W3CDTF">2011-02-12T00:30:44Z</dcterms:modified>
</cp:coreProperties>
</file>