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00" yWindow="-90" windowWidth="12915" windowHeight="11850" activeTab="1"/>
  </bookViews>
  <sheets>
    <sheet name="Reverse Basis" sheetId="1" r:id="rId1"/>
    <sheet name="Forward Basis" sheetId="2" r:id="rId2"/>
    <sheet name="Basis Fracs" sheetId="3" r:id="rId3"/>
    <sheet name="Presented Balance" sheetId="4" r:id="rId4"/>
  </sheets>
  <definedNames>
    <definedName name="solver_adj" localSheetId="1" hidden="1">'Forward Basis'!$J$10</definedName>
    <definedName name="solver_adj" localSheetId="0" hidden="1">'Reverse Basis'!#REF!</definedName>
    <definedName name="solver_cvg" localSheetId="1" hidden="1">0.0001</definedName>
    <definedName name="solver_cvg" localSheetId="0" hidden="1">0.0001</definedName>
    <definedName name="solver_drv" localSheetId="1" hidden="1">1</definedName>
    <definedName name="solver_drv" localSheetId="0" hidden="1">1</definedName>
    <definedName name="solver_est" localSheetId="1" hidden="1">1</definedName>
    <definedName name="solver_est" localSheetId="0" hidden="1">1</definedName>
    <definedName name="solver_itr" localSheetId="1" hidden="1">100</definedName>
    <definedName name="solver_itr" localSheetId="0" hidden="1">100</definedName>
    <definedName name="solver_lhs1" localSheetId="1" hidden="1">'Forward Basis'!$P$51</definedName>
    <definedName name="solver_lin" localSheetId="1" hidden="1">2</definedName>
    <definedName name="solver_lin" localSheetId="0" hidden="1">2</definedName>
    <definedName name="solver_neg" localSheetId="1" hidden="1">2</definedName>
    <definedName name="solver_neg" localSheetId="0" hidden="1">2</definedName>
    <definedName name="solver_num" localSheetId="1" hidden="1">0</definedName>
    <definedName name="solver_num" localSheetId="0" hidden="1">0</definedName>
    <definedName name="solver_nwt" localSheetId="1" hidden="1">1</definedName>
    <definedName name="solver_nwt" localSheetId="0" hidden="1">1</definedName>
    <definedName name="solver_opt" localSheetId="1" hidden="1">'Forward Basis'!$G$108</definedName>
    <definedName name="solver_opt" localSheetId="0" hidden="1">'Reverse Basis'!$H$54</definedName>
    <definedName name="solver_pre" localSheetId="1" hidden="1">0.000001</definedName>
    <definedName name="solver_pre" localSheetId="0" hidden="1">0.000001</definedName>
    <definedName name="solver_rel1" localSheetId="1" hidden="1">3</definedName>
    <definedName name="solver_rhs1" localSheetId="1" hidden="1">1</definedName>
    <definedName name="solver_scl" localSheetId="1" hidden="1">2</definedName>
    <definedName name="solver_scl" localSheetId="0" hidden="1">2</definedName>
    <definedName name="solver_sho" localSheetId="1" hidden="1">2</definedName>
    <definedName name="solver_sho" localSheetId="0" hidden="1">2</definedName>
    <definedName name="solver_tim" localSheetId="1" hidden="1">100</definedName>
    <definedName name="solver_tim" localSheetId="0" hidden="1">100</definedName>
    <definedName name="solver_tol" localSheetId="1" hidden="1">0.05</definedName>
    <definedName name="solver_tol" localSheetId="0" hidden="1">0.05</definedName>
    <definedName name="solver_typ" localSheetId="1" hidden="1">3</definedName>
    <definedName name="solver_typ" localSheetId="0" hidden="1">3</definedName>
    <definedName name="solver_val" localSheetId="1" hidden="1">0</definedName>
    <definedName name="solver_val" localSheetId="0" hidden="1">1</definedName>
  </definedNames>
  <calcPr calcId="125725"/>
</workbook>
</file>

<file path=xl/calcChain.xml><?xml version="1.0" encoding="utf-8"?>
<calcChain xmlns="http://schemas.openxmlformats.org/spreadsheetml/2006/main">
  <c r="H95" i="2"/>
  <c r="H106"/>
  <c r="H107"/>
  <c r="H108"/>
  <c r="H109"/>
  <c r="H110"/>
  <c r="H111"/>
  <c r="H112"/>
  <c r="H113"/>
  <c r="H105"/>
  <c r="G106"/>
  <c r="G107"/>
  <c r="G108"/>
  <c r="G109"/>
  <c r="G110"/>
  <c r="G111"/>
  <c r="G112"/>
  <c r="G113"/>
  <c r="G105"/>
  <c r="F106"/>
  <c r="F107"/>
  <c r="F108"/>
  <c r="F109"/>
  <c r="F110"/>
  <c r="F111"/>
  <c r="F112"/>
  <c r="F113"/>
  <c r="F105"/>
  <c r="D109"/>
  <c r="D114"/>
  <c r="C110"/>
  <c r="H96"/>
  <c r="H97"/>
  <c r="H98"/>
  <c r="H99"/>
  <c r="K82"/>
  <c r="J83"/>
  <c r="J84"/>
  <c r="J85"/>
  <c r="J86"/>
  <c r="J82"/>
  <c r="I86"/>
  <c r="I85"/>
  <c r="I84"/>
  <c r="I83"/>
  <c r="I82"/>
  <c r="B83"/>
  <c r="C83"/>
  <c r="C84"/>
  <c r="C85"/>
  <c r="C86"/>
  <c r="C87"/>
  <c r="C88"/>
  <c r="C89"/>
  <c r="C82"/>
  <c r="B82"/>
  <c r="I24"/>
  <c r="I26"/>
  <c r="J26"/>
  <c r="J24"/>
  <c r="E8" i="3"/>
  <c r="F46" i="4"/>
  <c r="F45"/>
  <c r="E46"/>
  <c r="E45"/>
  <c r="N40"/>
  <c r="M40"/>
  <c r="L40"/>
  <c r="K40"/>
  <c r="I40"/>
  <c r="I39"/>
  <c r="H40"/>
  <c r="G40"/>
  <c r="G38"/>
  <c r="G37"/>
  <c r="G36"/>
  <c r="D40"/>
  <c r="D39"/>
  <c r="D38"/>
  <c r="D37"/>
  <c r="D36"/>
  <c r="M28"/>
  <c r="M27"/>
  <c r="M26"/>
  <c r="L28"/>
  <c r="L27"/>
  <c r="L26"/>
  <c r="L21"/>
  <c r="K28"/>
  <c r="K27"/>
  <c r="K26"/>
  <c r="J28"/>
  <c r="J27"/>
  <c r="J26"/>
  <c r="H28"/>
  <c r="H27"/>
  <c r="H25"/>
  <c r="H24"/>
  <c r="H23"/>
  <c r="H21"/>
  <c r="G28"/>
  <c r="G27"/>
  <c r="G26"/>
  <c r="I25" i="2"/>
  <c r="J25" s="1"/>
  <c r="U21"/>
  <c r="F99"/>
  <c r="F95"/>
  <c r="J27"/>
  <c r="J29" s="1"/>
  <c r="B31"/>
  <c r="B30"/>
  <c r="AM49"/>
  <c r="AL49"/>
  <c r="AN49" s="1"/>
  <c r="AO49" s="1"/>
  <c r="AP49" s="1"/>
  <c r="AF50"/>
  <c r="AF51"/>
  <c r="AG51" s="1"/>
  <c r="AH51" s="1"/>
  <c r="AI51" s="1"/>
  <c r="AF52"/>
  <c r="AE50"/>
  <c r="AE51"/>
  <c r="AE52"/>
  <c r="AG52"/>
  <c r="AH52" s="1"/>
  <c r="AI52" s="1"/>
  <c r="AG50"/>
  <c r="AH50" s="1"/>
  <c r="AI50" s="1"/>
  <c r="Y49"/>
  <c r="X49"/>
  <c r="Z49" s="1"/>
  <c r="AA49" s="1"/>
  <c r="AB49" s="1"/>
  <c r="AB62"/>
  <c r="U58"/>
  <c r="AA62"/>
  <c r="T58"/>
  <c r="Z62"/>
  <c r="Y62"/>
  <c r="X62"/>
  <c r="U63"/>
  <c r="U64"/>
  <c r="U65"/>
  <c r="T63"/>
  <c r="T64"/>
  <c r="T65"/>
  <c r="S63"/>
  <c r="S64"/>
  <c r="S65"/>
  <c r="S58"/>
  <c r="R63"/>
  <c r="R64"/>
  <c r="R65"/>
  <c r="R58"/>
  <c r="U50"/>
  <c r="U51"/>
  <c r="U52"/>
  <c r="T50"/>
  <c r="T51"/>
  <c r="T52"/>
  <c r="S50"/>
  <c r="S51"/>
  <c r="S52"/>
  <c r="R50"/>
  <c r="R51"/>
  <c r="R52"/>
  <c r="Q50"/>
  <c r="Q51"/>
  <c r="Q52"/>
  <c r="I74"/>
  <c r="F75"/>
  <c r="F76"/>
  <c r="F77"/>
  <c r="E75"/>
  <c r="E76"/>
  <c r="E77"/>
  <c r="D75"/>
  <c r="D76"/>
  <c r="D77"/>
  <c r="C75"/>
  <c r="C76"/>
  <c r="C77"/>
  <c r="F26" i="1"/>
  <c r="F24"/>
  <c r="C29"/>
  <c r="C25"/>
  <c r="C26"/>
  <c r="C27"/>
  <c r="C28"/>
  <c r="C24"/>
  <c r="J74" i="2"/>
  <c r="K74"/>
  <c r="L74" s="1"/>
  <c r="M74" s="1"/>
  <c r="B77"/>
  <c r="B76"/>
  <c r="M61"/>
  <c r="L61"/>
  <c r="E58"/>
  <c r="K61"/>
  <c r="J61"/>
  <c r="I61"/>
  <c r="F60"/>
  <c r="F61"/>
  <c r="F62"/>
  <c r="F58"/>
  <c r="E60"/>
  <c r="E61"/>
  <c r="E62"/>
  <c r="D60"/>
  <c r="D61"/>
  <c r="D62"/>
  <c r="D58"/>
  <c r="C60"/>
  <c r="C61"/>
  <c r="C62"/>
  <c r="C58"/>
  <c r="M49"/>
  <c r="L49"/>
  <c r="K49"/>
  <c r="J49"/>
  <c r="I49"/>
  <c r="F50"/>
  <c r="F51"/>
  <c r="F52"/>
  <c r="E50"/>
  <c r="E51"/>
  <c r="E52"/>
  <c r="D50"/>
  <c r="D51"/>
  <c r="D52"/>
  <c r="C50"/>
  <c r="C51"/>
  <c r="C52"/>
  <c r="B31" i="3"/>
  <c r="B29"/>
  <c r="D41" i="4" l="1"/>
  <c r="C3" s="1"/>
  <c r="G47" i="3"/>
  <c r="F47" s="1"/>
  <c r="G48"/>
  <c r="F48" s="1"/>
  <c r="G49"/>
  <c r="F49" s="1"/>
  <c r="G50"/>
  <c r="F50" s="1"/>
  <c r="G46"/>
  <c r="G51" s="1"/>
  <c r="Q18"/>
  <c r="K29"/>
  <c r="L29"/>
  <c r="C29"/>
  <c r="D16" i="2"/>
  <c r="D15"/>
  <c r="C15" s="1"/>
  <c r="B15" s="1"/>
  <c r="B14" i="1"/>
  <c r="J14"/>
  <c r="I14"/>
  <c r="I25"/>
  <c r="I26"/>
  <c r="I27"/>
  <c r="I24"/>
  <c r="I23"/>
  <c r="B15"/>
  <c r="I36"/>
  <c r="I32"/>
  <c r="I33"/>
  <c r="I34"/>
  <c r="I35"/>
  <c r="C14"/>
  <c r="B17"/>
  <c r="D16"/>
  <c r="D19"/>
  <c r="B34"/>
  <c r="B32"/>
  <c r="O5" i="3"/>
  <c r="Q19"/>
  <c r="Q20"/>
  <c r="Q21"/>
  <c r="Q22"/>
  <c r="I15" i="1"/>
  <c r="I16"/>
  <c r="I17"/>
  <c r="I18"/>
  <c r="J15"/>
  <c r="J16"/>
  <c r="J17"/>
  <c r="J18"/>
  <c r="J19"/>
  <c r="L31" i="3"/>
  <c r="L33"/>
  <c r="K30"/>
  <c r="L30" s="1"/>
  <c r="K31"/>
  <c r="K32"/>
  <c r="L32" s="1"/>
  <c r="K33"/>
  <c r="O32" s="1"/>
  <c r="K34"/>
  <c r="L34" s="1"/>
  <c r="K35"/>
  <c r="L35" s="1"/>
  <c r="K36"/>
  <c r="L36" s="1"/>
  <c r="B30"/>
  <c r="C30" s="1"/>
  <c r="B32"/>
  <c r="C32" s="1"/>
  <c r="B33"/>
  <c r="F32" s="1"/>
  <c r="G32" s="1"/>
  <c r="B34"/>
  <c r="C34" s="1"/>
  <c r="B35"/>
  <c r="B36"/>
  <c r="C36" s="1"/>
  <c r="O6"/>
  <c r="O7"/>
  <c r="O8"/>
  <c r="O9"/>
  <c r="O11"/>
  <c r="O12"/>
  <c r="O13"/>
  <c r="K5"/>
  <c r="J14"/>
  <c r="K6"/>
  <c r="K7"/>
  <c r="K8"/>
  <c r="K9"/>
  <c r="K11"/>
  <c r="K12"/>
  <c r="K13"/>
  <c r="E16" i="2"/>
  <c r="D17"/>
  <c r="F17" s="1"/>
  <c r="D18"/>
  <c r="E18" s="1"/>
  <c r="D19"/>
  <c r="F19" s="1"/>
  <c r="F15"/>
  <c r="O30" i="3" l="1"/>
  <c r="P30"/>
  <c r="L37"/>
  <c r="P32"/>
  <c r="K37"/>
  <c r="O31"/>
  <c r="O33"/>
  <c r="O29"/>
  <c r="F46"/>
  <c r="F29"/>
  <c r="G29" s="1"/>
  <c r="K14"/>
  <c r="O14"/>
  <c r="B37"/>
  <c r="F33"/>
  <c r="G33" s="1"/>
  <c r="F30"/>
  <c r="G30" s="1"/>
  <c r="C35"/>
  <c r="C33"/>
  <c r="C31"/>
  <c r="F31"/>
  <c r="F16" i="2"/>
  <c r="C16"/>
  <c r="B16" s="1"/>
  <c r="E15"/>
  <c r="C18"/>
  <c r="B18" s="1"/>
  <c r="F18"/>
  <c r="E19"/>
  <c r="E17"/>
  <c r="C19"/>
  <c r="B19" s="1"/>
  <c r="C17"/>
  <c r="B17" s="1"/>
  <c r="D20"/>
  <c r="I46" i="3" l="1"/>
  <c r="F51"/>
  <c r="G31"/>
  <c r="P29"/>
  <c r="O34"/>
  <c r="J18" s="1"/>
  <c r="J20"/>
  <c r="P31"/>
  <c r="J22"/>
  <c r="P33"/>
  <c r="F34"/>
  <c r="N20" s="1"/>
  <c r="C37"/>
  <c r="N22"/>
  <c r="G34"/>
  <c r="O22" s="1"/>
  <c r="B20" i="2"/>
  <c r="E20"/>
  <c r="B100" s="1"/>
  <c r="B98" s="1"/>
  <c r="F20"/>
  <c r="C20"/>
  <c r="N21" i="3" l="1"/>
  <c r="P34"/>
  <c r="O20"/>
  <c r="J19"/>
  <c r="J21"/>
  <c r="I49"/>
  <c r="I50"/>
  <c r="I47"/>
  <c r="I51" s="1"/>
  <c r="I48"/>
  <c r="K22"/>
  <c r="B96" i="2"/>
  <c r="B95"/>
  <c r="B97"/>
  <c r="B99"/>
  <c r="N19" i="3"/>
  <c r="N18"/>
  <c r="O21"/>
  <c r="O18"/>
  <c r="O19"/>
  <c r="J28" i="2"/>
  <c r="K28" s="1"/>
  <c r="L28" s="1"/>
  <c r="M28" s="1"/>
  <c r="K21" i="3" l="1"/>
  <c r="K19"/>
  <c r="K20"/>
  <c r="K18"/>
  <c r="K26" i="2"/>
  <c r="L26" s="1"/>
  <c r="K25"/>
  <c r="L25" s="1"/>
  <c r="F96" s="1"/>
  <c r="K27"/>
  <c r="I29"/>
  <c r="E9" i="1"/>
  <c r="E11"/>
  <c r="E10"/>
  <c r="B18"/>
  <c r="B16"/>
  <c r="M25" i="2" l="1"/>
  <c r="M26"/>
  <c r="F97"/>
  <c r="L27"/>
  <c r="C27"/>
  <c r="K24"/>
  <c r="K15" i="1"/>
  <c r="M15" s="1"/>
  <c r="K17"/>
  <c r="M17" s="1"/>
  <c r="E8"/>
  <c r="C18" s="1"/>
  <c r="D18" s="1"/>
  <c r="E7"/>
  <c r="C17" s="1"/>
  <c r="D17" s="1"/>
  <c r="E6"/>
  <c r="E5"/>
  <c r="E4"/>
  <c r="G39" i="4" l="1"/>
  <c r="G41" s="1"/>
  <c r="F98" i="2"/>
  <c r="M27"/>
  <c r="C24"/>
  <c r="B24" s="1"/>
  <c r="C26"/>
  <c r="C28"/>
  <c r="B28" s="1"/>
  <c r="C30"/>
  <c r="C25"/>
  <c r="C29"/>
  <c r="C31"/>
  <c r="K29"/>
  <c r="L24"/>
  <c r="L15" i="1"/>
  <c r="L17"/>
  <c r="C16"/>
  <c r="C15"/>
  <c r="D15" s="1"/>
  <c r="B65" i="2" l="1"/>
  <c r="C65" s="1"/>
  <c r="D65" s="1"/>
  <c r="E65" s="1"/>
  <c r="F65" s="1"/>
  <c r="D31"/>
  <c r="B27"/>
  <c r="D27"/>
  <c r="D24"/>
  <c r="F24" s="1"/>
  <c r="C32"/>
  <c r="D28"/>
  <c r="B29"/>
  <c r="D29"/>
  <c r="B25"/>
  <c r="D25"/>
  <c r="B64"/>
  <c r="D30"/>
  <c r="B26"/>
  <c r="B35" s="1"/>
  <c r="C35" s="1"/>
  <c r="D26"/>
  <c r="M24"/>
  <c r="M29" s="1"/>
  <c r="L29"/>
  <c r="K16" i="1"/>
  <c r="M16" s="1"/>
  <c r="B19"/>
  <c r="D14"/>
  <c r="C19"/>
  <c r="E16"/>
  <c r="F16"/>
  <c r="B46" i="2" l="1"/>
  <c r="B59"/>
  <c r="B63"/>
  <c r="I59" s="1"/>
  <c r="J59" s="1"/>
  <c r="K59" s="1"/>
  <c r="B49"/>
  <c r="AE49" s="1"/>
  <c r="B48"/>
  <c r="AE48" s="1"/>
  <c r="AF48" s="1"/>
  <c r="AG48" s="1"/>
  <c r="AH48" s="1"/>
  <c r="Q49"/>
  <c r="I62"/>
  <c r="J62" s="1"/>
  <c r="K62" s="1"/>
  <c r="C64"/>
  <c r="D64" s="1"/>
  <c r="E64" s="1"/>
  <c r="F64" s="1"/>
  <c r="B45"/>
  <c r="B47"/>
  <c r="B32"/>
  <c r="E26"/>
  <c r="F23" i="4" s="1"/>
  <c r="F26" i="2"/>
  <c r="E30"/>
  <c r="F27" i="4" s="1"/>
  <c r="F30" i="2"/>
  <c r="F25"/>
  <c r="E25"/>
  <c r="F22" i="4" s="1"/>
  <c r="E29" i="2"/>
  <c r="F26" i="4" s="1"/>
  <c r="F29" i="2"/>
  <c r="E28"/>
  <c r="F25" i="4" s="1"/>
  <c r="F28" i="2"/>
  <c r="D32"/>
  <c r="E24"/>
  <c r="F21" i="4" s="1"/>
  <c r="E27" i="2"/>
  <c r="F24" i="4" s="1"/>
  <c r="F27" i="2"/>
  <c r="E31"/>
  <c r="F28" i="4" s="1"/>
  <c r="F31" i="2"/>
  <c r="B36" i="1"/>
  <c r="B38"/>
  <c r="B33"/>
  <c r="C32"/>
  <c r="B35"/>
  <c r="B37"/>
  <c r="B39"/>
  <c r="C39" s="1"/>
  <c r="D39" s="1"/>
  <c r="C33"/>
  <c r="D33" s="1"/>
  <c r="I19"/>
  <c r="E14"/>
  <c r="L16"/>
  <c r="E17"/>
  <c r="F17"/>
  <c r="F14"/>
  <c r="E18"/>
  <c r="F18"/>
  <c r="F15"/>
  <c r="E15"/>
  <c r="F30" i="4" l="1"/>
  <c r="G6" s="1"/>
  <c r="AI48" i="2"/>
  <c r="K24" i="4"/>
  <c r="B71" i="2"/>
  <c r="B74"/>
  <c r="C74" s="1"/>
  <c r="D74" s="1"/>
  <c r="E74" s="1"/>
  <c r="C48"/>
  <c r="D48" s="1"/>
  <c r="E48" s="1"/>
  <c r="G24" i="4" s="1"/>
  <c r="C63" i="2"/>
  <c r="D63" s="1"/>
  <c r="E63" s="1"/>
  <c r="Q48"/>
  <c r="R48" s="1"/>
  <c r="S48" s="1"/>
  <c r="T48" s="1"/>
  <c r="I48"/>
  <c r="J48" s="1"/>
  <c r="K48" s="1"/>
  <c r="M48" s="1"/>
  <c r="C49"/>
  <c r="D49" s="1"/>
  <c r="E49" s="1"/>
  <c r="G25" i="4" s="1"/>
  <c r="AE46" i="2"/>
  <c r="AF46" s="1"/>
  <c r="AG46" s="1"/>
  <c r="AH46" s="1"/>
  <c r="Q46"/>
  <c r="R46" s="1"/>
  <c r="S46" s="1"/>
  <c r="T46" s="1"/>
  <c r="Q62"/>
  <c r="R49"/>
  <c r="S49" s="1"/>
  <c r="T49" s="1"/>
  <c r="X48"/>
  <c r="Y48" s="1"/>
  <c r="Z48" s="1"/>
  <c r="AA48" s="1"/>
  <c r="Q47"/>
  <c r="AE47"/>
  <c r="AL46" s="1"/>
  <c r="AM46" s="1"/>
  <c r="Q45"/>
  <c r="AE45"/>
  <c r="AF49"/>
  <c r="AG49" s="1"/>
  <c r="AH49" s="1"/>
  <c r="AL48"/>
  <c r="AM48" s="1"/>
  <c r="AN48" s="1"/>
  <c r="AO48" s="1"/>
  <c r="C59"/>
  <c r="I60"/>
  <c r="J60" s="1"/>
  <c r="K60" s="1"/>
  <c r="I58"/>
  <c r="B66"/>
  <c r="C46"/>
  <c r="D46" s="1"/>
  <c r="F49"/>
  <c r="M59"/>
  <c r="L59"/>
  <c r="I37" i="4" s="1"/>
  <c r="M62" i="2"/>
  <c r="L62"/>
  <c r="B40"/>
  <c r="C47"/>
  <c r="D47" s="1"/>
  <c r="B72"/>
  <c r="I46"/>
  <c r="J46" s="1"/>
  <c r="K46" s="1"/>
  <c r="B73"/>
  <c r="I47"/>
  <c r="J47" s="1"/>
  <c r="K47" s="1"/>
  <c r="I45"/>
  <c r="B53"/>
  <c r="C45"/>
  <c r="B70"/>
  <c r="Q70" s="1"/>
  <c r="I73"/>
  <c r="I35"/>
  <c r="J35" s="1"/>
  <c r="D35"/>
  <c r="I36"/>
  <c r="J36" s="1"/>
  <c r="K36" s="1"/>
  <c r="L36" s="1"/>
  <c r="E32"/>
  <c r="F100" s="1"/>
  <c r="F32"/>
  <c r="J23" i="1"/>
  <c r="I28"/>
  <c r="C34"/>
  <c r="D34" s="1"/>
  <c r="F33"/>
  <c r="E33"/>
  <c r="E39"/>
  <c r="F39"/>
  <c r="D32"/>
  <c r="K23"/>
  <c r="K14"/>
  <c r="E19"/>
  <c r="F19"/>
  <c r="M36" i="2" l="1"/>
  <c r="F38" i="4"/>
  <c r="AI49" i="2"/>
  <c r="K25" i="4"/>
  <c r="U49" i="2"/>
  <c r="J25" i="4"/>
  <c r="U48" i="2"/>
  <c r="J24" i="4"/>
  <c r="AP48" i="2"/>
  <c r="L39" i="4"/>
  <c r="AB48" i="2"/>
  <c r="K39" i="4"/>
  <c r="F63" i="2"/>
  <c r="H26" i="4"/>
  <c r="F74" i="2"/>
  <c r="M25" i="4"/>
  <c r="AI46" i="2"/>
  <c r="K22" i="4"/>
  <c r="U46" i="2"/>
  <c r="J22" i="4"/>
  <c r="F48" i="2"/>
  <c r="L48"/>
  <c r="H39" i="4" s="1"/>
  <c r="R70" i="2"/>
  <c r="S70" s="1"/>
  <c r="X70"/>
  <c r="X71"/>
  <c r="Y71" s="1"/>
  <c r="Z71" s="1"/>
  <c r="AA71" s="1"/>
  <c r="AL45"/>
  <c r="AL47"/>
  <c r="AM47" s="1"/>
  <c r="AN47" s="1"/>
  <c r="AO47" s="1"/>
  <c r="AF45"/>
  <c r="AE53"/>
  <c r="AF47"/>
  <c r="AG47" s="1"/>
  <c r="AH47" s="1"/>
  <c r="AN46"/>
  <c r="AO46" s="1"/>
  <c r="Q61"/>
  <c r="R61" s="1"/>
  <c r="S61" s="1"/>
  <c r="T61" s="1"/>
  <c r="Q59"/>
  <c r="X47"/>
  <c r="Y47" s="1"/>
  <c r="Z47" s="1"/>
  <c r="AA47" s="1"/>
  <c r="Q53"/>
  <c r="R45"/>
  <c r="X45"/>
  <c r="X46"/>
  <c r="Y46" s="1"/>
  <c r="Z46" s="1"/>
  <c r="AA46" s="1"/>
  <c r="Q60"/>
  <c r="R47"/>
  <c r="S47" s="1"/>
  <c r="T47" s="1"/>
  <c r="X61"/>
  <c r="Y61" s="1"/>
  <c r="Z61" s="1"/>
  <c r="AA61" s="1"/>
  <c r="R62"/>
  <c r="S62" s="1"/>
  <c r="T62" s="1"/>
  <c r="J73"/>
  <c r="K73" s="1"/>
  <c r="D45"/>
  <c r="C53"/>
  <c r="J45"/>
  <c r="I50"/>
  <c r="C73"/>
  <c r="D73" s="1"/>
  <c r="E73" s="1"/>
  <c r="I71"/>
  <c r="C72"/>
  <c r="D72" s="1"/>
  <c r="E72" s="1"/>
  <c r="E35"/>
  <c r="I70"/>
  <c r="I72"/>
  <c r="B78"/>
  <c r="AB7" s="1"/>
  <c r="M95"/>
  <c r="C70"/>
  <c r="M47"/>
  <c r="L47"/>
  <c r="H38" i="4" s="1"/>
  <c r="M46" i="2"/>
  <c r="L46"/>
  <c r="H37" i="4" s="1"/>
  <c r="F47" i="2"/>
  <c r="E47"/>
  <c r="G23" i="4" s="1"/>
  <c r="C71" i="2"/>
  <c r="D71" s="1"/>
  <c r="E71" s="1"/>
  <c r="M22" i="4" s="1"/>
  <c r="AB5" i="2"/>
  <c r="J58"/>
  <c r="I63"/>
  <c r="D59"/>
  <c r="C66"/>
  <c r="U70"/>
  <c r="T70"/>
  <c r="I26" i="4" s="1"/>
  <c r="I30" s="1"/>
  <c r="N11" s="1"/>
  <c r="B41" i="2"/>
  <c r="C41" s="1"/>
  <c r="D41" s="1"/>
  <c r="E41" s="1"/>
  <c r="E46"/>
  <c r="G22" i="4" s="1"/>
  <c r="F46" i="2"/>
  <c r="M60"/>
  <c r="L60"/>
  <c r="I38" i="4" s="1"/>
  <c r="C40" i="2"/>
  <c r="I40"/>
  <c r="J40" s="1"/>
  <c r="K40" s="1"/>
  <c r="L40" s="1"/>
  <c r="I37"/>
  <c r="F32" i="1"/>
  <c r="E32"/>
  <c r="J25"/>
  <c r="K25" s="1"/>
  <c r="J27"/>
  <c r="J26"/>
  <c r="J32"/>
  <c r="B40"/>
  <c r="C37"/>
  <c r="D37" s="1"/>
  <c r="F34"/>
  <c r="E34"/>
  <c r="M14"/>
  <c r="L14"/>
  <c r="C38"/>
  <c r="D38" s="1"/>
  <c r="J36"/>
  <c r="K36" s="1"/>
  <c r="C35"/>
  <c r="J35"/>
  <c r="K35" s="1"/>
  <c r="C36"/>
  <c r="D36" s="1"/>
  <c r="L23"/>
  <c r="M23"/>
  <c r="K19"/>
  <c r="M19"/>
  <c r="L19"/>
  <c r="G56" s="1"/>
  <c r="M40" i="2" l="1"/>
  <c r="E38" i="4"/>
  <c r="F41" i="2"/>
  <c r="D25" i="4"/>
  <c r="F35" i="2"/>
  <c r="E26" i="4"/>
  <c r="E30" s="1"/>
  <c r="C9" s="1"/>
  <c r="AB61" i="2"/>
  <c r="M39" i="4"/>
  <c r="AP46" i="2"/>
  <c r="L37" i="4"/>
  <c r="AB71" i="2"/>
  <c r="J38" i="4"/>
  <c r="F72" i="2"/>
  <c r="M23" i="4"/>
  <c r="F73" i="2"/>
  <c r="M24" i="4"/>
  <c r="U62" i="2"/>
  <c r="L25" i="4"/>
  <c r="U47" i="2"/>
  <c r="J23" i="4"/>
  <c r="AB46" i="2"/>
  <c r="K37" i="4"/>
  <c r="U61" i="2"/>
  <c r="L24" i="4"/>
  <c r="AI47" i="2"/>
  <c r="K23" i="4"/>
  <c r="F71" i="2"/>
  <c r="AP47"/>
  <c r="L38" i="4"/>
  <c r="AB47" i="2"/>
  <c r="K38" i="4"/>
  <c r="C42" i="2"/>
  <c r="X59"/>
  <c r="Y59" s="1"/>
  <c r="Z59" s="1"/>
  <c r="AA59" s="1"/>
  <c r="R60"/>
  <c r="S60" s="1"/>
  <c r="T60" s="1"/>
  <c r="X50"/>
  <c r="Y45"/>
  <c r="X60"/>
  <c r="Y60" s="1"/>
  <c r="Z60" s="1"/>
  <c r="AA60" s="1"/>
  <c r="R59"/>
  <c r="Q66"/>
  <c r="X58"/>
  <c r="R53"/>
  <c r="S45"/>
  <c r="AG45"/>
  <c r="AF53"/>
  <c r="AM45"/>
  <c r="AL50"/>
  <c r="Y70"/>
  <c r="X72"/>
  <c r="B42"/>
  <c r="E59"/>
  <c r="H22" i="4" s="1"/>
  <c r="H30" s="1"/>
  <c r="H11" s="1"/>
  <c r="D66" i="2"/>
  <c r="J63"/>
  <c r="K58"/>
  <c r="D70"/>
  <c r="C78"/>
  <c r="AB10"/>
  <c r="AB9"/>
  <c r="AB11"/>
  <c r="AB8"/>
  <c r="K45"/>
  <c r="J50"/>
  <c r="F45"/>
  <c r="F53" s="1"/>
  <c r="E45"/>
  <c r="D53"/>
  <c r="AC4" s="1"/>
  <c r="L73"/>
  <c r="AB4"/>
  <c r="AB6"/>
  <c r="J72"/>
  <c r="K72" s="1"/>
  <c r="I75"/>
  <c r="AG16" s="1"/>
  <c r="J70"/>
  <c r="J71"/>
  <c r="K71" s="1"/>
  <c r="K35"/>
  <c r="J37"/>
  <c r="D40"/>
  <c r="G59" i="1"/>
  <c r="G61"/>
  <c r="G60"/>
  <c r="G58"/>
  <c r="G57"/>
  <c r="J24"/>
  <c r="K24" s="1"/>
  <c r="L24" s="1"/>
  <c r="B44"/>
  <c r="K32"/>
  <c r="I45"/>
  <c r="I44"/>
  <c r="F36"/>
  <c r="E36"/>
  <c r="C44"/>
  <c r="D44" s="1"/>
  <c r="B50"/>
  <c r="I50" s="1"/>
  <c r="D35"/>
  <c r="C40"/>
  <c r="F38"/>
  <c r="E38"/>
  <c r="F37"/>
  <c r="E37"/>
  <c r="I37"/>
  <c r="J33"/>
  <c r="J34"/>
  <c r="K34" s="1"/>
  <c r="L25"/>
  <c r="M25"/>
  <c r="M35"/>
  <c r="L35"/>
  <c r="M36"/>
  <c r="L36"/>
  <c r="K26"/>
  <c r="K27"/>
  <c r="M73" i="2" l="1"/>
  <c r="N39" i="4"/>
  <c r="AB59" i="2"/>
  <c r="M37" i="4"/>
  <c r="E53" i="2"/>
  <c r="G21" i="4"/>
  <c r="G30" s="1"/>
  <c r="K7" s="1"/>
  <c r="U60" i="2"/>
  <c r="L23" i="4"/>
  <c r="AB60" i="2"/>
  <c r="M38" i="4"/>
  <c r="Z70" i="2"/>
  <c r="Y72"/>
  <c r="AM50"/>
  <c r="AN45"/>
  <c r="AG53"/>
  <c r="AH45"/>
  <c r="K21" i="4" s="1"/>
  <c r="K30" s="1"/>
  <c r="M7" s="1"/>
  <c r="M45" i="2"/>
  <c r="M50" s="1"/>
  <c r="L45"/>
  <c r="T45"/>
  <c r="J21" i="4" s="1"/>
  <c r="J30" s="1"/>
  <c r="M2" s="1"/>
  <c r="S53" i="2"/>
  <c r="X63"/>
  <c r="Y58"/>
  <c r="S59"/>
  <c r="R66"/>
  <c r="Z45"/>
  <c r="Y50"/>
  <c r="AB12"/>
  <c r="I87"/>
  <c r="AG20"/>
  <c r="AG19"/>
  <c r="E40"/>
  <c r="D29" i="4" s="1"/>
  <c r="D30" s="1"/>
  <c r="C6" s="1"/>
  <c r="D42" i="2"/>
  <c r="J75"/>
  <c r="J87" s="1"/>
  <c r="K70"/>
  <c r="AC9"/>
  <c r="AC11"/>
  <c r="AC10"/>
  <c r="AC7"/>
  <c r="AC8"/>
  <c r="AC6"/>
  <c r="AC5"/>
  <c r="K50"/>
  <c r="E70"/>
  <c r="M21" i="4" s="1"/>
  <c r="M30" s="1"/>
  <c r="R6" s="1"/>
  <c r="D78" i="2"/>
  <c r="F59"/>
  <c r="F66" s="1"/>
  <c r="E66"/>
  <c r="AG17"/>
  <c r="AG18"/>
  <c r="L71"/>
  <c r="L72"/>
  <c r="M58"/>
  <c r="M63" s="1"/>
  <c r="L58"/>
  <c r="K63"/>
  <c r="I41"/>
  <c r="L35"/>
  <c r="F37" i="4" s="1"/>
  <c r="F41" s="1"/>
  <c r="K37" i="2"/>
  <c r="M24" i="1"/>
  <c r="L32"/>
  <c r="M32"/>
  <c r="J44"/>
  <c r="J45"/>
  <c r="K45" s="1"/>
  <c r="J50"/>
  <c r="I46"/>
  <c r="AD17" s="1"/>
  <c r="K33"/>
  <c r="J37"/>
  <c r="E44"/>
  <c r="C56" s="1"/>
  <c r="F44"/>
  <c r="E35"/>
  <c r="E40" s="1"/>
  <c r="F56" s="1"/>
  <c r="F35"/>
  <c r="F40" s="1"/>
  <c r="D40"/>
  <c r="L34"/>
  <c r="M34"/>
  <c r="C50"/>
  <c r="L27"/>
  <c r="M27"/>
  <c r="L26"/>
  <c r="L28" s="1"/>
  <c r="B56" s="1"/>
  <c r="M26"/>
  <c r="K28"/>
  <c r="J28"/>
  <c r="M71" i="2" l="1"/>
  <c r="N37" i="4"/>
  <c r="L63" i="2"/>
  <c r="I36" i="4"/>
  <c r="I41" s="1"/>
  <c r="M72" i="2"/>
  <c r="N38" i="4"/>
  <c r="L50" i="2"/>
  <c r="H36" i="4"/>
  <c r="H41" s="1"/>
  <c r="AC12" i="2"/>
  <c r="Z50"/>
  <c r="AA45"/>
  <c r="K36" i="4" s="1"/>
  <c r="K41" s="1"/>
  <c r="S66" i="2"/>
  <c r="T59"/>
  <c r="L22" i="4" s="1"/>
  <c r="L30" s="1"/>
  <c r="P6" s="1"/>
  <c r="T53" i="2"/>
  <c r="U45"/>
  <c r="U53" s="1"/>
  <c r="Z72"/>
  <c r="AA70"/>
  <c r="J37" i="4" s="1"/>
  <c r="J41" s="1"/>
  <c r="Y63" i="2"/>
  <c r="Z58"/>
  <c r="AH53"/>
  <c r="AI45"/>
  <c r="AI53" s="1"/>
  <c r="AN50"/>
  <c r="AO45"/>
  <c r="L36" i="4" s="1"/>
  <c r="L41" s="1"/>
  <c r="AG21" i="2"/>
  <c r="F70"/>
  <c r="F78" s="1"/>
  <c r="E78"/>
  <c r="L70"/>
  <c r="N36" i="4" s="1"/>
  <c r="K75" i="2"/>
  <c r="AH16" s="1"/>
  <c r="K86"/>
  <c r="L86" s="1"/>
  <c r="M86" s="1"/>
  <c r="F40"/>
  <c r="F42" s="1"/>
  <c r="E42"/>
  <c r="D100" s="1"/>
  <c r="D97" s="1"/>
  <c r="I42"/>
  <c r="J41"/>
  <c r="L37"/>
  <c r="C100" s="1"/>
  <c r="C96" s="1"/>
  <c r="M35"/>
  <c r="M37" s="1"/>
  <c r="B58" i="1"/>
  <c r="B60"/>
  <c r="B57"/>
  <c r="B59"/>
  <c r="B61"/>
  <c r="F58"/>
  <c r="F59"/>
  <c r="F60"/>
  <c r="F61"/>
  <c r="F57"/>
  <c r="C60"/>
  <c r="C57"/>
  <c r="C61"/>
  <c r="M45"/>
  <c r="L45"/>
  <c r="AD18"/>
  <c r="J46"/>
  <c r="K44"/>
  <c r="K50"/>
  <c r="D50"/>
  <c r="C51"/>
  <c r="M33"/>
  <c r="M37" s="1"/>
  <c r="K37"/>
  <c r="L33"/>
  <c r="L37" s="1"/>
  <c r="M28"/>
  <c r="N41" i="4" l="1"/>
  <c r="AO50" i="2"/>
  <c r="AP45"/>
  <c r="AP50" s="1"/>
  <c r="AA58"/>
  <c r="M36" i="4" s="1"/>
  <c r="M41" s="1"/>
  <c r="Z63" i="2"/>
  <c r="AA72"/>
  <c r="AB70"/>
  <c r="AB72" s="1"/>
  <c r="U59"/>
  <c r="U66" s="1"/>
  <c r="T66"/>
  <c r="AA50"/>
  <c r="AB45"/>
  <c r="AB50" s="1"/>
  <c r="C99"/>
  <c r="C98"/>
  <c r="C95"/>
  <c r="AH20"/>
  <c r="AH19"/>
  <c r="AH17"/>
  <c r="AH18"/>
  <c r="L75"/>
  <c r="G100" s="1"/>
  <c r="M70"/>
  <c r="M75" s="1"/>
  <c r="C97"/>
  <c r="E97" s="1"/>
  <c r="D98"/>
  <c r="D95"/>
  <c r="D96"/>
  <c r="E96" s="1"/>
  <c r="D99"/>
  <c r="E100"/>
  <c r="J42"/>
  <c r="K41"/>
  <c r="L44" i="1"/>
  <c r="L46" s="1"/>
  <c r="M44"/>
  <c r="M46" s="1"/>
  <c r="K46"/>
  <c r="AE18" s="1"/>
  <c r="C59" s="1"/>
  <c r="M50"/>
  <c r="L50"/>
  <c r="E50"/>
  <c r="E51" s="1"/>
  <c r="F50"/>
  <c r="F51" s="1"/>
  <c r="F52" s="1"/>
  <c r="D51"/>
  <c r="D52" s="1"/>
  <c r="Z5" s="1"/>
  <c r="C52"/>
  <c r="B51"/>
  <c r="B52" s="1"/>
  <c r="I51" s="1"/>
  <c r="E99" i="2" l="1"/>
  <c r="E95"/>
  <c r="E98"/>
  <c r="AA63"/>
  <c r="AB58"/>
  <c r="AB63" s="1"/>
  <c r="AH21"/>
  <c r="G97"/>
  <c r="G99"/>
  <c r="G96"/>
  <c r="G98"/>
  <c r="G95"/>
  <c r="K42"/>
  <c r="L41"/>
  <c r="E39" i="4" s="1"/>
  <c r="E41" s="1"/>
  <c r="AE17" i="1"/>
  <c r="C58" s="1"/>
  <c r="Z4"/>
  <c r="Y4"/>
  <c r="E52"/>
  <c r="D56"/>
  <c r="D60" s="1"/>
  <c r="M41" i="2" l="1"/>
  <c r="M42" s="1"/>
  <c r="L42"/>
  <c r="D58" i="1"/>
  <c r="E58" s="1"/>
  <c r="E60"/>
  <c r="D57"/>
  <c r="E57" s="1"/>
  <c r="D59"/>
  <c r="E59" s="1"/>
  <c r="D61"/>
  <c r="E61" s="1"/>
  <c r="Y5"/>
  <c r="E56"/>
  <c r="I52" l="1"/>
  <c r="AA18" s="1"/>
  <c r="J51"/>
  <c r="AA19"/>
  <c r="K51" l="1"/>
  <c r="J52"/>
  <c r="AA21"/>
  <c r="M51" l="1"/>
  <c r="M52" s="1"/>
  <c r="L51"/>
  <c r="L52" s="1"/>
  <c r="K52"/>
  <c r="AB18" s="1"/>
  <c r="AB19" l="1"/>
  <c r="AB21" s="1"/>
  <c r="K85" i="2" l="1"/>
  <c r="L85" s="1"/>
  <c r="M85" s="1"/>
  <c r="K84" l="1"/>
  <c r="L84" s="1"/>
  <c r="M84" s="1"/>
  <c r="K83" l="1"/>
  <c r="L83" s="1"/>
  <c r="M83" s="1"/>
  <c r="B84" l="1"/>
  <c r="D83"/>
  <c r="E83" s="1"/>
  <c r="F83" s="1"/>
  <c r="K87"/>
  <c r="L82"/>
  <c r="D86"/>
  <c r="E86" s="1"/>
  <c r="F86" s="1"/>
  <c r="B89" l="1"/>
  <c r="B88"/>
  <c r="B85"/>
  <c r="K95" s="1"/>
  <c r="B87"/>
  <c r="B86"/>
  <c r="D85"/>
  <c r="E85" s="1"/>
  <c r="F85" s="1"/>
  <c r="D89"/>
  <c r="E89" s="1"/>
  <c r="F89" s="1"/>
  <c r="C90"/>
  <c r="D84"/>
  <c r="E84" s="1"/>
  <c r="F84" s="1"/>
  <c r="D87"/>
  <c r="E87" s="1"/>
  <c r="F87" s="1"/>
  <c r="L87"/>
  <c r="M82"/>
  <c r="M87" s="1"/>
  <c r="D88"/>
  <c r="E88" s="1"/>
  <c r="F88" s="1"/>
  <c r="D82"/>
  <c r="D90" l="1"/>
  <c r="E82"/>
  <c r="E90" l="1"/>
  <c r="F82"/>
  <c r="F90" s="1"/>
  <c r="B90"/>
</calcChain>
</file>

<file path=xl/sharedStrings.xml><?xml version="1.0" encoding="utf-8"?>
<sst xmlns="http://schemas.openxmlformats.org/spreadsheetml/2006/main" count="827" uniqueCount="157">
  <si>
    <t>C</t>
  </si>
  <si>
    <t>Elemental MW (g/mol)</t>
  </si>
  <si>
    <t>H</t>
  </si>
  <si>
    <t>O</t>
  </si>
  <si>
    <t>N</t>
  </si>
  <si>
    <t>S</t>
  </si>
  <si>
    <t>Componet MW (g/mol)</t>
  </si>
  <si>
    <t>CO</t>
  </si>
  <si>
    <t>CO2</t>
  </si>
  <si>
    <t>CH4</t>
  </si>
  <si>
    <t>H2</t>
  </si>
  <si>
    <t>N2</t>
  </si>
  <si>
    <t>Metric Tons/day</t>
  </si>
  <si>
    <t>Bar</t>
  </si>
  <si>
    <t>Total</t>
  </si>
  <si>
    <t>Moles/day</t>
  </si>
  <si>
    <t>Moles/     day</t>
  </si>
  <si>
    <t>Grams/    day</t>
  </si>
  <si>
    <t>Metric tons/day</t>
  </si>
  <si>
    <t>Tons/day</t>
  </si>
  <si>
    <t>Grams/day</t>
  </si>
  <si>
    <t>Lbs/day</t>
  </si>
  <si>
    <t>H2O</t>
  </si>
  <si>
    <t>H2S</t>
  </si>
  <si>
    <t>COS</t>
  </si>
  <si>
    <t>Mass</t>
  </si>
  <si>
    <t xml:space="preserve">FINAL SYNGAS </t>
  </si>
  <si>
    <t>COMPONENTS FRACTIONS</t>
  </si>
  <si>
    <t xml:space="preserve">Molar </t>
  </si>
  <si>
    <t>RAW SYNGAS</t>
  </si>
  <si>
    <t>*</t>
  </si>
  <si>
    <t>**</t>
  </si>
  <si>
    <t>PETCOKE</t>
  </si>
  <si>
    <t>ELEMENTAL FRACTIONS</t>
  </si>
  <si>
    <t>Chemical Production  Reqs</t>
  </si>
  <si>
    <t xml:space="preserve">Basis:  </t>
  </si>
  <si>
    <t>grams/day</t>
  </si>
  <si>
    <t>Petcoke Elemental Flow</t>
  </si>
  <si>
    <t>***</t>
  </si>
  <si>
    <t>Total Petcoke</t>
  </si>
  <si>
    <t>Raw Syngas   Component    Flow</t>
  </si>
  <si>
    <t>Raw Syngas  Elemental Flow</t>
  </si>
  <si>
    <t>Specified by production group ( can vary)</t>
  </si>
  <si>
    <t>Specificed by  literature reviews for typical operation (can vary)</t>
  </si>
  <si>
    <t>Specified by literature review for typical composition (can vary)</t>
  </si>
  <si>
    <t>Assumptions:</t>
  </si>
  <si>
    <t xml:space="preserve">2) All sulfur compounds are assumed to be removed </t>
  </si>
  <si>
    <t>MOLES OF FINAL SYNGAS ( solved in order to produce 3000 M.Tons of final syngas)</t>
  </si>
  <si>
    <t>1) Lost carbons are entire CO2 , COS and fudge factor of .0009 molar fraction pcoke carbons are lost between raw syn and final syn</t>
  </si>
  <si>
    <t>Grams/Day</t>
  </si>
  <si>
    <t>Petcoke</t>
  </si>
  <si>
    <t>Mass Flow (Tons/day)</t>
  </si>
  <si>
    <t>Steam</t>
  </si>
  <si>
    <t>O2/N2</t>
  </si>
  <si>
    <t>Final Syngas</t>
  </si>
  <si>
    <t>Raw Syngas</t>
  </si>
  <si>
    <t>Total IN</t>
  </si>
  <si>
    <t>Mole/day</t>
  </si>
  <si>
    <t>Basis:</t>
  </si>
  <si>
    <t>Metric Tons/day of Pet Coke</t>
  </si>
  <si>
    <t>Raw Syngas   Elemental   Flow</t>
  </si>
  <si>
    <t>O2</t>
  </si>
  <si>
    <t>Steam Component Flow</t>
  </si>
  <si>
    <t>Steam Elemental Flow</t>
  </si>
  <si>
    <t>O2(95w%)/N2 Component Flow</t>
  </si>
  <si>
    <t>O2(95w%)/   N2     Elemental Flow</t>
  </si>
  <si>
    <t>Final Syngas Component Flow</t>
  </si>
  <si>
    <t xml:space="preserve">Final Syngas  Element Flow </t>
  </si>
  <si>
    <t>Petcoke Composition Flow Is not a possible criteria</t>
  </si>
  <si>
    <t>ASU</t>
  </si>
  <si>
    <t>CHECK WORK:</t>
  </si>
  <si>
    <t>Total Flow</t>
  </si>
  <si>
    <t>CO2*</t>
  </si>
  <si>
    <t>H2*</t>
  </si>
  <si>
    <t xml:space="preserve">more comes out cause water added </t>
  </si>
  <si>
    <t>Diffrence due to coal raw syngas composition vs petcoke composition</t>
  </si>
  <si>
    <t>Molar *</t>
  </si>
  <si>
    <t>Molar **</t>
  </si>
  <si>
    <t>Molar Basis:</t>
  </si>
  <si>
    <t>moles/day basis</t>
  </si>
  <si>
    <t>Moles</t>
  </si>
  <si>
    <t>Grams</t>
  </si>
  <si>
    <t>Components</t>
  </si>
  <si>
    <t>Elemental</t>
  </si>
  <si>
    <t>FINAL SYNGAS</t>
  </si>
  <si>
    <t>Mass***</t>
  </si>
  <si>
    <t>mole frac</t>
  </si>
  <si>
    <t>Moles**</t>
  </si>
  <si>
    <t>Moles*</t>
  </si>
  <si>
    <t>Grams***</t>
  </si>
  <si>
    <t>Mass Basis:</t>
  </si>
  <si>
    <t>grams/day basis</t>
  </si>
  <si>
    <t>Clean Syngas Component Flow</t>
  </si>
  <si>
    <t>In Pollutant  Component Flow</t>
  </si>
  <si>
    <t>Clean Syngas Elemental Flow</t>
  </si>
  <si>
    <t>In Pollutant  Elemental Flow</t>
  </si>
  <si>
    <t>CO2* assuming only 20%mole  is absorbed into the cleaning process</t>
  </si>
  <si>
    <t>Actual Final Syn Component Flow</t>
  </si>
  <si>
    <t>Actual Final Syn Elemental Flow</t>
  </si>
  <si>
    <t>Desired Final Syn Component Flow</t>
  </si>
  <si>
    <t>Desired Final Syn Elemental Flow</t>
  </si>
  <si>
    <t>Actual Final Syngas</t>
  </si>
  <si>
    <t>co/h2</t>
  </si>
  <si>
    <t>c/h</t>
  </si>
  <si>
    <t xml:space="preserve">Conversion of CO in WGS is </t>
  </si>
  <si>
    <t xml:space="preserve">due to water loss and wgs water in </t>
  </si>
  <si>
    <t>due to sulfur removal</t>
  </si>
  <si>
    <t>due to 20% mole CO2 loss</t>
  </si>
  <si>
    <t xml:space="preserve">fraction to achive proper ratios </t>
  </si>
  <si>
    <t>Desired CO/H2</t>
  </si>
  <si>
    <t>Actual CO/H2</t>
  </si>
  <si>
    <t>Assuming petcoke gets converted like literature says</t>
  </si>
  <si>
    <t>Assuming all H2S COS H2O are completely removed in absorber proccess along with 20%mole CO2</t>
  </si>
  <si>
    <t>Total IN Gasifier</t>
  </si>
  <si>
    <t xml:space="preserve">PetCoke </t>
  </si>
  <si>
    <t>RawSyngas</t>
  </si>
  <si>
    <t>C/S</t>
  </si>
  <si>
    <t>Molar Ratio</t>
  </si>
  <si>
    <t>C/N</t>
  </si>
  <si>
    <t>Differences are due to the rawsyn composition is from a coal feed gasifier and hence the C/S/N ratios are off</t>
  </si>
  <si>
    <t>DON’T  LOOK AT THIS SHEET</t>
  </si>
  <si>
    <t>Split Away Clean Syngas Component Flow</t>
  </si>
  <si>
    <t>Shifted Syngas Component Flow</t>
  </si>
  <si>
    <t xml:space="preserve">Assuming all water feed reacted with all the CO aka 100 percent conversion </t>
  </si>
  <si>
    <t>Only look at these two streams if there is a split before the WGS</t>
  </si>
  <si>
    <t>H20 IN WGS Component Flow</t>
  </si>
  <si>
    <t>Shifted Syngas Elemental Flow</t>
  </si>
  <si>
    <t>Split Away Clean Syngas Syngas Elemental Flow</t>
  </si>
  <si>
    <t>Inlet Fraction  Clean Syngas Component Flow</t>
  </si>
  <si>
    <t>Line # / Stream</t>
  </si>
  <si>
    <t>Component Flow (Tons/Day)</t>
  </si>
  <si>
    <t>O2 / N2 Feed</t>
  </si>
  <si>
    <t>Steam In</t>
  </si>
  <si>
    <t>Raw Syngas Out of Gasifier</t>
  </si>
  <si>
    <t>Cleaned Syngas</t>
  </si>
  <si>
    <t>Wastes (H2S to Sulfur)</t>
  </si>
  <si>
    <t>WGS Water</t>
  </si>
  <si>
    <t xml:space="preserve">Split Fraction Clean Syngas </t>
  </si>
  <si>
    <t>Inlet Fraction Clean Syngas</t>
  </si>
  <si>
    <t>Shifted Syngas</t>
  </si>
  <si>
    <t>If not then adjust split fraction and conversion to match desired CO/H2 ratio</t>
  </si>
  <si>
    <t>If there is no split then</t>
  </si>
  <si>
    <t>Elemental Flow (Tons/Day)</t>
  </si>
  <si>
    <t>Petcoke Feed</t>
  </si>
  <si>
    <t>Inlet Fraction  Clean Syngas Elemental Flow</t>
  </si>
  <si>
    <t>Tons/Day</t>
  </si>
  <si>
    <t>PetCoke</t>
  </si>
  <si>
    <t>Clean Syngas</t>
  </si>
  <si>
    <t>Inlet Syn</t>
  </si>
  <si>
    <t>Sulfur Removal</t>
  </si>
  <si>
    <t>Split Syn</t>
  </si>
  <si>
    <t>Shifted Syn</t>
  </si>
  <si>
    <t>Final Syn</t>
  </si>
  <si>
    <t>Elemental MW (lb/lbmole)</t>
  </si>
  <si>
    <t>Componet MW (lb/lbmole)</t>
  </si>
  <si>
    <t xml:space="preserve">Desired FINAL SYNGAS </t>
  </si>
  <si>
    <t>Desired Syngas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</si>
</sst>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00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vertical="top" wrapText="1"/>
    </xf>
    <xf numFmtId="0" fontId="0" fillId="0" borderId="0" xfId="0" applyBorder="1"/>
    <xf numFmtId="0" fontId="0" fillId="0" borderId="0" xfId="0" applyAlignment="1">
      <alignment vertical="top"/>
    </xf>
    <xf numFmtId="0" fontId="0" fillId="2" borderId="0" xfId="0" applyFont="1" applyFill="1" applyAlignment="1">
      <alignment wrapText="1"/>
    </xf>
    <xf numFmtId="0" fontId="1" fillId="2" borderId="0" xfId="0" applyFont="1" applyFill="1"/>
    <xf numFmtId="0" fontId="3" fillId="0" borderId="0" xfId="0" applyFont="1"/>
    <xf numFmtId="0" fontId="4" fillId="0" borderId="0" xfId="0" applyFont="1"/>
    <xf numFmtId="0" fontId="0" fillId="0" borderId="1" xfId="0" applyBorder="1"/>
    <xf numFmtId="0" fontId="0" fillId="0" borderId="4" xfId="0" applyBorder="1"/>
    <xf numFmtId="0" fontId="1" fillId="0" borderId="0" xfId="0" applyFont="1" applyBorder="1" applyAlignment="1">
      <alignment horizontal="center"/>
    </xf>
    <xf numFmtId="0" fontId="0" fillId="0" borderId="5" xfId="0" applyBorder="1"/>
    <xf numFmtId="0" fontId="0" fillId="0" borderId="8" xfId="0" applyBorder="1"/>
    <xf numFmtId="0" fontId="0" fillId="0" borderId="7" xfId="0" applyBorder="1"/>
    <xf numFmtId="0" fontId="1" fillId="0" borderId="0" xfId="0" applyFont="1" applyBorder="1"/>
    <xf numFmtId="0" fontId="1" fillId="0" borderId="0" xfId="0" applyFont="1" applyFill="1" applyBorder="1"/>
    <xf numFmtId="0" fontId="0" fillId="0" borderId="0" xfId="0" applyFill="1" applyBorder="1"/>
    <xf numFmtId="0" fontId="0" fillId="0" borderId="3" xfId="0" applyBorder="1"/>
    <xf numFmtId="0" fontId="3" fillId="0" borderId="0" xfId="0" applyFont="1" applyBorder="1" applyAlignment="1">
      <alignment horizontal="left"/>
    </xf>
    <xf numFmtId="0" fontId="4" fillId="0" borderId="0" xfId="0" applyFont="1" applyBorder="1"/>
    <xf numFmtId="0" fontId="0" fillId="0" borderId="0" xfId="0" applyBorder="1" applyAlignment="1">
      <alignment horizontal="left"/>
    </xf>
    <xf numFmtId="0" fontId="1" fillId="0" borderId="0" xfId="0" applyFont="1" applyBorder="1" applyAlignment="1"/>
    <xf numFmtId="0" fontId="3" fillId="0" borderId="0" xfId="0" applyFont="1" applyBorder="1" applyAlignment="1">
      <alignment horizontal="center"/>
    </xf>
    <xf numFmtId="0" fontId="1" fillId="3" borderId="0" xfId="0" applyFont="1" applyFill="1" applyBorder="1"/>
    <xf numFmtId="0" fontId="0" fillId="0" borderId="2" xfId="0" applyBorder="1"/>
    <xf numFmtId="0" fontId="0" fillId="0" borderId="6" xfId="0" applyBorder="1"/>
    <xf numFmtId="0" fontId="0" fillId="0" borderId="7" xfId="0" applyFill="1" applyBorder="1"/>
    <xf numFmtId="0" fontId="0" fillId="2" borderId="0" xfId="0" applyFill="1"/>
    <xf numFmtId="1" fontId="0" fillId="0" borderId="0" xfId="0" applyNumberFormat="1"/>
    <xf numFmtId="164" fontId="0" fillId="0" borderId="0" xfId="0" applyNumberFormat="1"/>
    <xf numFmtId="1" fontId="1" fillId="0" borderId="0" xfId="0" applyNumberFormat="1" applyFont="1"/>
    <xf numFmtId="1" fontId="0" fillId="3" borderId="0" xfId="0" applyNumberFormat="1" applyFill="1"/>
    <xf numFmtId="0" fontId="4" fillId="0" borderId="0" xfId="0" applyFont="1" applyAlignment="1">
      <alignment vertical="top" wrapText="1"/>
    </xf>
    <xf numFmtId="164" fontId="0" fillId="0" borderId="0" xfId="0" applyNumberFormat="1" applyFont="1" applyBorder="1"/>
    <xf numFmtId="164" fontId="0" fillId="0" borderId="0" xfId="0" applyNumberFormat="1" applyFont="1" applyFill="1" applyBorder="1"/>
    <xf numFmtId="164" fontId="0" fillId="0" borderId="0" xfId="0" applyNumberFormat="1" applyBorder="1"/>
    <xf numFmtId="0" fontId="1" fillId="0" borderId="0" xfId="0" applyFont="1" applyAlignment="1">
      <alignment vertical="top" wrapText="1"/>
    </xf>
    <xf numFmtId="0" fontId="0" fillId="3" borderId="0" xfId="0" applyFill="1"/>
    <xf numFmtId="0" fontId="4" fillId="0" borderId="0" xfId="0" applyFont="1" applyFill="1" applyBorder="1" applyAlignment="1">
      <alignment vertical="top" wrapText="1"/>
    </xf>
    <xf numFmtId="0" fontId="4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0" fillId="0" borderId="0" xfId="0" applyFill="1"/>
    <xf numFmtId="1" fontId="0" fillId="4" borderId="0" xfId="0" applyNumberFormat="1" applyFill="1"/>
    <xf numFmtId="0" fontId="0" fillId="4" borderId="0" xfId="0" applyFill="1"/>
    <xf numFmtId="1" fontId="0" fillId="0" borderId="0" xfId="0" applyNumberFormat="1" applyFill="1"/>
    <xf numFmtId="1" fontId="0" fillId="5" borderId="0" xfId="0" applyNumberFormat="1" applyFill="1"/>
    <xf numFmtId="0" fontId="0" fillId="6" borderId="0" xfId="0" applyFill="1"/>
    <xf numFmtId="0" fontId="1" fillId="6" borderId="0" xfId="0" applyFont="1" applyFill="1"/>
    <xf numFmtId="0" fontId="1" fillId="7" borderId="0" xfId="0" applyFont="1" applyFill="1"/>
    <xf numFmtId="0" fontId="0" fillId="7" borderId="0" xfId="0" applyFill="1"/>
    <xf numFmtId="0" fontId="0" fillId="5" borderId="0" xfId="0" applyFill="1"/>
    <xf numFmtId="0" fontId="1" fillId="5" borderId="0" xfId="0" applyFont="1" applyFill="1"/>
    <xf numFmtId="0" fontId="1" fillId="0" borderId="0" xfId="0" applyFont="1" applyFill="1"/>
    <xf numFmtId="0" fontId="4" fillId="5" borderId="0" xfId="0" applyFont="1" applyFill="1" applyAlignment="1">
      <alignment vertical="top" wrapText="1"/>
    </xf>
    <xf numFmtId="1" fontId="0" fillId="8" borderId="0" xfId="0" applyNumberFormat="1" applyFill="1"/>
    <xf numFmtId="0" fontId="1" fillId="0" borderId="0" xfId="0" applyFont="1" applyAlignment="1">
      <alignment wrapText="1"/>
    </xf>
    <xf numFmtId="164" fontId="1" fillId="0" borderId="0" xfId="0" applyNumberFormat="1" applyFont="1"/>
    <xf numFmtId="0" fontId="4" fillId="5" borderId="0" xfId="0" applyFont="1" applyFill="1" applyAlignment="1">
      <alignment wrapText="1"/>
    </xf>
    <xf numFmtId="1" fontId="0" fillId="0" borderId="0" xfId="0" applyNumberFormat="1" applyFill="1" applyBorder="1"/>
    <xf numFmtId="0" fontId="3" fillId="0" borderId="0" xfId="0" applyFont="1" applyAlignment="1">
      <alignment wrapText="1"/>
    </xf>
    <xf numFmtId="165" fontId="0" fillId="0" borderId="0" xfId="0" applyNumberFormat="1"/>
    <xf numFmtId="1" fontId="5" fillId="0" borderId="0" xfId="0" applyNumberFormat="1" applyFont="1"/>
    <xf numFmtId="0" fontId="0" fillId="0" borderId="2" xfId="0" applyBorder="1" applyAlignment="1">
      <alignment vertical="top" wrapText="1"/>
    </xf>
    <xf numFmtId="0" fontId="1" fillId="0" borderId="4" xfId="0" applyFont="1" applyBorder="1"/>
    <xf numFmtId="1" fontId="0" fillId="0" borderId="0" xfId="0" applyNumberFormat="1" applyBorder="1"/>
    <xf numFmtId="1" fontId="0" fillId="0" borderId="0" xfId="0" applyNumberFormat="1" applyBorder="1" applyAlignment="1">
      <alignment vertical="top" wrapText="1"/>
    </xf>
    <xf numFmtId="0" fontId="0" fillId="0" borderId="0" xfId="0" applyBorder="1" applyAlignment="1">
      <alignment vertical="top" wrapText="1"/>
    </xf>
    <xf numFmtId="1" fontId="1" fillId="0" borderId="4" xfId="0" applyNumberFormat="1" applyFont="1" applyBorder="1"/>
    <xf numFmtId="0" fontId="1" fillId="0" borderId="6" xfId="0" applyFont="1" applyBorder="1"/>
    <xf numFmtId="1" fontId="0" fillId="0" borderId="7" xfId="0" applyNumberFormat="1" applyBorder="1"/>
    <xf numFmtId="1" fontId="6" fillId="0" borderId="0" xfId="0" applyNumberFormat="1" applyFont="1" applyBorder="1"/>
    <xf numFmtId="0" fontId="4" fillId="9" borderId="1" xfId="0" applyFont="1" applyFill="1" applyBorder="1" applyAlignment="1">
      <alignment vertical="top" wrapText="1"/>
    </xf>
    <xf numFmtId="0" fontId="4" fillId="9" borderId="4" xfId="0" applyFont="1" applyFill="1" applyBorder="1" applyAlignment="1">
      <alignment horizontal="left" vertical="top" wrapText="1"/>
    </xf>
    <xf numFmtId="0" fontId="7" fillId="0" borderId="0" xfId="0" applyFont="1" applyFill="1"/>
    <xf numFmtId="0" fontId="7" fillId="0" borderId="0" xfId="0" applyFont="1"/>
    <xf numFmtId="0" fontId="7" fillId="0" borderId="0" xfId="0" applyFont="1" applyBorder="1"/>
    <xf numFmtId="0" fontId="7" fillId="0" borderId="0" xfId="0" applyFont="1" applyFill="1" applyBorder="1"/>
    <xf numFmtId="1" fontId="7" fillId="0" borderId="0" xfId="0" applyNumberFormat="1" applyFont="1"/>
    <xf numFmtId="1" fontId="0" fillId="0" borderId="5" xfId="0" applyNumberFormat="1" applyBorder="1"/>
    <xf numFmtId="0" fontId="4" fillId="9" borderId="0" xfId="0" applyFont="1" applyFill="1" applyBorder="1" applyAlignment="1">
      <alignment horizontal="left" vertical="top" wrapText="1"/>
    </xf>
    <xf numFmtId="1" fontId="1" fillId="0" borderId="0" xfId="0" applyNumberFormat="1" applyFont="1" applyBorder="1"/>
    <xf numFmtId="0" fontId="4" fillId="9" borderId="2" xfId="0" applyFont="1" applyFill="1" applyBorder="1" applyAlignment="1">
      <alignment horizontal="left" vertical="top" wrapText="1"/>
    </xf>
    <xf numFmtId="0" fontId="4" fillId="9" borderId="2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1" fontId="1" fillId="0" borderId="0" xfId="0" applyNumberFormat="1" applyFont="1" applyFill="1" applyBorder="1"/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8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7" xfId="0" applyFont="1" applyBorder="1" applyAlignment="1">
      <alignment vertical="top" wrapText="1"/>
    </xf>
    <xf numFmtId="0" fontId="1" fillId="0" borderId="5" xfId="0" applyFont="1" applyBorder="1"/>
    <xf numFmtId="1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 wrapText="1"/>
    </xf>
    <xf numFmtId="1" fontId="0" fillId="0" borderId="0" xfId="0" applyNumberFormat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8" fillId="0" borderId="0" xfId="0" applyFont="1" applyFill="1" applyBorder="1"/>
    <xf numFmtId="0" fontId="1" fillId="0" borderId="7" xfId="0" applyFont="1" applyBorder="1"/>
    <xf numFmtId="1" fontId="0" fillId="0" borderId="6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" fontId="0" fillId="0" borderId="7" xfId="0" applyNumberFormat="1" applyFill="1" applyBorder="1" applyAlignment="1">
      <alignment horizontal="center"/>
    </xf>
    <xf numFmtId="0" fontId="1" fillId="0" borderId="8" xfId="0" applyFont="1" applyFill="1" applyBorder="1"/>
    <xf numFmtId="0" fontId="0" fillId="0" borderId="0" xfId="0" applyBorder="1" applyAlignment="1">
      <alignment horizontal="center"/>
    </xf>
    <xf numFmtId="0" fontId="1" fillId="0" borderId="3" xfId="0" applyFont="1" applyBorder="1"/>
    <xf numFmtId="0" fontId="1" fillId="0" borderId="8" xfId="0" applyFont="1" applyBorder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Fill="1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0" fontId="4" fillId="10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590550</xdr:colOff>
      <xdr:row>2</xdr:row>
      <xdr:rowOff>171451</xdr:rowOff>
    </xdr:from>
    <xdr:to>
      <xdr:col>5</xdr:col>
      <xdr:colOff>381000</xdr:colOff>
      <xdr:row>9</xdr:row>
      <xdr:rowOff>19051</xdr:rowOff>
    </xdr:to>
    <xdr:sp macro="" textlink="">
      <xdr:nvSpPr>
        <xdr:cNvPr id="3" name="Rectangle 2"/>
        <xdr:cNvSpPr/>
      </xdr:nvSpPr>
      <xdr:spPr>
        <a:xfrm>
          <a:off x="2667000" y="552451"/>
          <a:ext cx="1009650" cy="11811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Gasification </a:t>
          </a:r>
        </a:p>
      </xdr:txBody>
    </xdr:sp>
    <xdr:clientData/>
  </xdr:twoCellAnchor>
  <xdr:twoCellAnchor>
    <xdr:from>
      <xdr:col>7</xdr:col>
      <xdr:colOff>209550</xdr:colOff>
      <xdr:row>3</xdr:row>
      <xdr:rowOff>180975</xdr:rowOff>
    </xdr:from>
    <xdr:to>
      <xdr:col>9</xdr:col>
      <xdr:colOff>0</xdr:colOff>
      <xdr:row>9</xdr:row>
      <xdr:rowOff>19050</xdr:rowOff>
    </xdr:to>
    <xdr:sp macro="" textlink="">
      <xdr:nvSpPr>
        <xdr:cNvPr id="4" name="Rectangle 3"/>
        <xdr:cNvSpPr/>
      </xdr:nvSpPr>
      <xdr:spPr>
        <a:xfrm>
          <a:off x="4867275" y="752475"/>
          <a:ext cx="1009650" cy="98107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Cleaning</a:t>
          </a:r>
          <a:r>
            <a:rPr lang="en-US" sz="1100" baseline="0"/>
            <a:t> </a:t>
          </a:r>
          <a:endParaRPr lang="en-US" sz="1100"/>
        </a:p>
      </xdr:txBody>
    </xdr:sp>
    <xdr:clientData/>
  </xdr:twoCellAnchor>
  <xdr:twoCellAnchor>
    <xdr:from>
      <xdr:col>13</xdr:col>
      <xdr:colOff>20411</xdr:colOff>
      <xdr:row>3</xdr:row>
      <xdr:rowOff>158865</xdr:rowOff>
    </xdr:from>
    <xdr:to>
      <xdr:col>14</xdr:col>
      <xdr:colOff>417738</xdr:colOff>
      <xdr:row>8</xdr:row>
      <xdr:rowOff>187440</xdr:rowOff>
    </xdr:to>
    <xdr:sp macro="" textlink="">
      <xdr:nvSpPr>
        <xdr:cNvPr id="5" name="Rectangle 4"/>
        <xdr:cNvSpPr/>
      </xdr:nvSpPr>
      <xdr:spPr>
        <a:xfrm>
          <a:off x="8335736" y="730365"/>
          <a:ext cx="1006927" cy="98107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Water</a:t>
          </a:r>
          <a:r>
            <a:rPr lang="en-US" sz="1100" baseline="0"/>
            <a:t> Gas Shift</a:t>
          </a:r>
          <a:endParaRPr lang="en-US" sz="1100"/>
        </a:p>
      </xdr:txBody>
    </xdr:sp>
    <xdr:clientData/>
  </xdr:twoCellAnchor>
  <xdr:twoCellAnchor>
    <xdr:from>
      <xdr:col>1</xdr:col>
      <xdr:colOff>66675</xdr:colOff>
      <xdr:row>5</xdr:row>
      <xdr:rowOff>176213</xdr:rowOff>
    </xdr:from>
    <xdr:to>
      <xdr:col>4</xdr:col>
      <xdr:colOff>0</xdr:colOff>
      <xdr:row>5</xdr:row>
      <xdr:rowOff>180975</xdr:rowOff>
    </xdr:to>
    <xdr:cxnSp macro="">
      <xdr:nvCxnSpPr>
        <xdr:cNvPr id="6" name="Straight Arrow Connector 5"/>
        <xdr:cNvCxnSpPr/>
      </xdr:nvCxnSpPr>
      <xdr:spPr>
        <a:xfrm flipV="1">
          <a:off x="676275" y="1128713"/>
          <a:ext cx="2009775" cy="476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57150</xdr:colOff>
      <xdr:row>9</xdr:row>
      <xdr:rowOff>0</xdr:rowOff>
    </xdr:from>
    <xdr:to>
      <xdr:col>3</xdr:col>
      <xdr:colOff>600075</xdr:colOff>
      <xdr:row>9</xdr:row>
      <xdr:rowOff>4762</xdr:rowOff>
    </xdr:to>
    <xdr:cxnSp macro="">
      <xdr:nvCxnSpPr>
        <xdr:cNvPr id="7" name="Straight Arrow Connector 6"/>
        <xdr:cNvCxnSpPr/>
      </xdr:nvCxnSpPr>
      <xdr:spPr>
        <a:xfrm flipV="1">
          <a:off x="666750" y="1714500"/>
          <a:ext cx="2009775" cy="476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104775</xdr:colOff>
      <xdr:row>3</xdr:row>
      <xdr:rowOff>9525</xdr:rowOff>
    </xdr:from>
    <xdr:to>
      <xdr:col>4</xdr:col>
      <xdr:colOff>38100</xdr:colOff>
      <xdr:row>3</xdr:row>
      <xdr:rowOff>14287</xdr:rowOff>
    </xdr:to>
    <xdr:cxnSp macro="">
      <xdr:nvCxnSpPr>
        <xdr:cNvPr id="8" name="Straight Arrow Connector 7"/>
        <xdr:cNvCxnSpPr/>
      </xdr:nvCxnSpPr>
      <xdr:spPr>
        <a:xfrm flipV="1">
          <a:off x="714375" y="581025"/>
          <a:ext cx="2009775" cy="476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381000</xdr:colOff>
      <xdr:row>6</xdr:row>
      <xdr:rowOff>1</xdr:rowOff>
    </xdr:from>
    <xdr:to>
      <xdr:col>7</xdr:col>
      <xdr:colOff>190500</xdr:colOff>
      <xdr:row>6</xdr:row>
      <xdr:rowOff>9525</xdr:rowOff>
    </xdr:to>
    <xdr:cxnSp macro="">
      <xdr:nvCxnSpPr>
        <xdr:cNvPr id="12" name="Straight Arrow Connector 11"/>
        <xdr:cNvCxnSpPr>
          <a:stCxn id="3" idx="3"/>
        </xdr:cNvCxnSpPr>
      </xdr:nvCxnSpPr>
      <xdr:spPr>
        <a:xfrm>
          <a:off x="3676650" y="1143001"/>
          <a:ext cx="1171575" cy="952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38100</xdr:colOff>
      <xdr:row>7</xdr:row>
      <xdr:rowOff>0</xdr:rowOff>
    </xdr:from>
    <xdr:to>
      <xdr:col>13</xdr:col>
      <xdr:colOff>38100</xdr:colOff>
      <xdr:row>7</xdr:row>
      <xdr:rowOff>19051</xdr:rowOff>
    </xdr:to>
    <xdr:cxnSp macro="">
      <xdr:nvCxnSpPr>
        <xdr:cNvPr id="14" name="Straight Arrow Connector 13"/>
        <xdr:cNvCxnSpPr/>
      </xdr:nvCxnSpPr>
      <xdr:spPr>
        <a:xfrm flipV="1">
          <a:off x="5915025" y="1333500"/>
          <a:ext cx="2438400" cy="1905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428625</xdr:colOff>
      <xdr:row>5</xdr:row>
      <xdr:rowOff>180975</xdr:rowOff>
    </xdr:from>
    <xdr:to>
      <xdr:col>16</xdr:col>
      <xdr:colOff>579665</xdr:colOff>
      <xdr:row>6</xdr:row>
      <xdr:rowOff>12246</xdr:rowOff>
    </xdr:to>
    <xdr:cxnSp macro="">
      <xdr:nvCxnSpPr>
        <xdr:cNvPr id="16" name="Straight Arrow Connector 15"/>
        <xdr:cNvCxnSpPr/>
      </xdr:nvCxnSpPr>
      <xdr:spPr>
        <a:xfrm>
          <a:off x="9353550" y="1133475"/>
          <a:ext cx="1370240" cy="2177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8731</xdr:colOff>
      <xdr:row>9</xdr:row>
      <xdr:rowOff>38894</xdr:rowOff>
    </xdr:from>
    <xdr:to>
      <xdr:col>8</xdr:col>
      <xdr:colOff>10319</xdr:colOff>
      <xdr:row>13</xdr:row>
      <xdr:rowOff>134144</xdr:rowOff>
    </xdr:to>
    <xdr:cxnSp macro="">
      <xdr:nvCxnSpPr>
        <xdr:cNvPr id="18" name="Straight Arrow Connector 17"/>
        <xdr:cNvCxnSpPr/>
      </xdr:nvCxnSpPr>
      <xdr:spPr>
        <a:xfrm rot="5400000">
          <a:off x="4848225" y="2181225"/>
          <a:ext cx="857250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600078</xdr:colOff>
      <xdr:row>2</xdr:row>
      <xdr:rowOff>0</xdr:rowOff>
    </xdr:from>
    <xdr:to>
      <xdr:col>11</xdr:col>
      <xdr:colOff>1</xdr:colOff>
      <xdr:row>6</xdr:row>
      <xdr:rowOff>180978</xdr:rowOff>
    </xdr:to>
    <xdr:cxnSp macro="">
      <xdr:nvCxnSpPr>
        <xdr:cNvPr id="20" name="Straight Connector 19"/>
        <xdr:cNvCxnSpPr/>
      </xdr:nvCxnSpPr>
      <xdr:spPr>
        <a:xfrm rot="16200000" flipV="1">
          <a:off x="6619876" y="847727"/>
          <a:ext cx="942978" cy="952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2</xdr:row>
      <xdr:rowOff>9525</xdr:rowOff>
    </xdr:from>
    <xdr:to>
      <xdr:col>16</xdr:col>
      <xdr:colOff>219075</xdr:colOff>
      <xdr:row>2</xdr:row>
      <xdr:rowOff>9526</xdr:rowOff>
    </xdr:to>
    <xdr:cxnSp macro="">
      <xdr:nvCxnSpPr>
        <xdr:cNvPr id="21" name="Straight Connector 20"/>
        <xdr:cNvCxnSpPr/>
      </xdr:nvCxnSpPr>
      <xdr:spPr>
        <a:xfrm flipV="1">
          <a:off x="7096125" y="390525"/>
          <a:ext cx="3267075" cy="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216924</xdr:colOff>
      <xdr:row>2</xdr:row>
      <xdr:rowOff>3</xdr:rowOff>
    </xdr:from>
    <xdr:to>
      <xdr:col>16</xdr:col>
      <xdr:colOff>219076</xdr:colOff>
      <xdr:row>6</xdr:row>
      <xdr:rowOff>21546</xdr:rowOff>
    </xdr:to>
    <xdr:cxnSp macro="">
      <xdr:nvCxnSpPr>
        <xdr:cNvPr id="22" name="Straight Arrow Connector 21"/>
        <xdr:cNvCxnSpPr/>
      </xdr:nvCxnSpPr>
      <xdr:spPr>
        <a:xfrm rot="5400000">
          <a:off x="9970353" y="771699"/>
          <a:ext cx="783543" cy="215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8169</xdr:colOff>
      <xdr:row>9</xdr:row>
      <xdr:rowOff>6803</xdr:rowOff>
    </xdr:from>
    <xdr:to>
      <xdr:col>14</xdr:col>
      <xdr:colOff>8171</xdr:colOff>
      <xdr:row>13</xdr:row>
      <xdr:rowOff>102052</xdr:rowOff>
    </xdr:to>
    <xdr:cxnSp macro="">
      <xdr:nvCxnSpPr>
        <xdr:cNvPr id="24" name="Straight Arrow Connector 23"/>
        <xdr:cNvCxnSpPr/>
      </xdr:nvCxnSpPr>
      <xdr:spPr>
        <a:xfrm rot="5400000" flipH="1" flipV="1">
          <a:off x="8504470" y="2149927"/>
          <a:ext cx="857249" cy="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64"/>
  <sheetViews>
    <sheetView zoomScale="81" zoomScaleNormal="81" workbookViewId="0">
      <selection activeCell="G6" sqref="G6"/>
    </sheetView>
  </sheetViews>
  <sheetFormatPr defaultRowHeight="15"/>
  <cols>
    <col min="1" max="1" width="13" customWidth="1"/>
    <col min="2" max="3" width="11.5703125" customWidth="1"/>
    <col min="4" max="4" width="12.140625" customWidth="1"/>
    <col min="5" max="5" width="11.28515625" customWidth="1"/>
    <col min="6" max="6" width="12.140625" customWidth="1"/>
    <col min="7" max="7" width="12.42578125" customWidth="1"/>
    <col min="8" max="8" width="13.140625" customWidth="1"/>
    <col min="9" max="9" width="12.42578125" customWidth="1"/>
    <col min="10" max="10" width="13.7109375" customWidth="1"/>
    <col min="11" max="11" width="10.28515625" customWidth="1"/>
    <col min="12" max="12" width="10.42578125" customWidth="1"/>
    <col min="13" max="13" width="11.5703125" bestFit="1" customWidth="1"/>
    <col min="15" max="15" width="10.140625" customWidth="1"/>
    <col min="16" max="16" width="10.5703125" customWidth="1"/>
    <col min="17" max="17" width="10.85546875" customWidth="1"/>
  </cols>
  <sheetData>
    <row r="1" spans="1:31" ht="61.5">
      <c r="A1" s="4" t="s">
        <v>34</v>
      </c>
      <c r="B1" s="4"/>
      <c r="C1" s="4"/>
      <c r="D1" s="4">
        <v>260</v>
      </c>
      <c r="E1" s="4" t="s">
        <v>0</v>
      </c>
      <c r="G1" s="63" t="s">
        <v>120</v>
      </c>
      <c r="Q1" s="9" t="s">
        <v>27</v>
      </c>
      <c r="R1" s="9"/>
    </row>
    <row r="2" spans="1:31">
      <c r="A2" s="25">
        <v>3000</v>
      </c>
      <c r="B2" s="4" t="s">
        <v>12</v>
      </c>
      <c r="C2" s="4"/>
      <c r="D2" s="4">
        <v>50</v>
      </c>
      <c r="E2" s="4" t="s">
        <v>13</v>
      </c>
      <c r="P2" s="4"/>
      <c r="Q2" s="20" t="s">
        <v>26</v>
      </c>
      <c r="R2" s="24"/>
      <c r="S2" s="4"/>
      <c r="T2" s="4"/>
      <c r="U2" s="20" t="s">
        <v>29</v>
      </c>
      <c r="V2" s="22"/>
      <c r="X2" s="8" t="s">
        <v>69</v>
      </c>
      <c r="Y2" s="8"/>
    </row>
    <row r="3" spans="1:31">
      <c r="A3" s="10" t="s">
        <v>1</v>
      </c>
      <c r="B3" s="26"/>
      <c r="C3" s="26"/>
      <c r="D3" s="26" t="s">
        <v>6</v>
      </c>
      <c r="E3" s="19"/>
      <c r="P3" s="4" t="s">
        <v>30</v>
      </c>
      <c r="Q3" s="12" t="s">
        <v>28</v>
      </c>
      <c r="R3" s="16" t="s">
        <v>25</v>
      </c>
      <c r="S3" s="4"/>
      <c r="T3" s="4" t="s">
        <v>31</v>
      </c>
      <c r="U3" s="12" t="s">
        <v>28</v>
      </c>
      <c r="V3" s="23" t="s">
        <v>25</v>
      </c>
      <c r="Y3" s="12" t="s">
        <v>28</v>
      </c>
      <c r="Z3" s="16" t="s">
        <v>25</v>
      </c>
    </row>
    <row r="4" spans="1:31">
      <c r="A4" s="11" t="s">
        <v>0</v>
      </c>
      <c r="B4" s="4">
        <v>12.010999999999999</v>
      </c>
      <c r="C4" s="4"/>
      <c r="D4" s="4" t="s">
        <v>7</v>
      </c>
      <c r="E4" s="13">
        <f>B4+B6</f>
        <v>28.009999999999998</v>
      </c>
      <c r="I4">
        <v>87106435.685984805</v>
      </c>
      <c r="P4" s="16" t="s">
        <v>7</v>
      </c>
      <c r="Q4" s="35">
        <v>0.27860000000000001</v>
      </c>
      <c r="R4" s="35">
        <v>0.71725499868696041</v>
      </c>
      <c r="S4" s="4"/>
      <c r="T4" s="16" t="s">
        <v>7</v>
      </c>
      <c r="U4" s="37">
        <v>0.62630000000000008</v>
      </c>
      <c r="V4" s="37">
        <v>0.82400713647572066</v>
      </c>
      <c r="X4" t="s">
        <v>61</v>
      </c>
      <c r="Y4">
        <f>B50/B51</f>
        <v>0.94329250138233178</v>
      </c>
      <c r="Z4">
        <f>D50/D51</f>
        <v>0.95</v>
      </c>
    </row>
    <row r="5" spans="1:31">
      <c r="A5" s="11" t="s">
        <v>2</v>
      </c>
      <c r="B5" s="4">
        <v>1.0079</v>
      </c>
      <c r="C5" s="4"/>
      <c r="D5" s="4" t="s">
        <v>8</v>
      </c>
      <c r="E5" s="13">
        <f>B4+(2*B6)</f>
        <v>44.009</v>
      </c>
      <c r="I5">
        <v>377157906.71506804</v>
      </c>
      <c r="P5" s="16" t="s">
        <v>8</v>
      </c>
      <c r="Q5" s="35">
        <v>3.5200000000000002E-2</v>
      </c>
      <c r="R5" s="35">
        <v>0.14238476622798141</v>
      </c>
      <c r="S5" s="4"/>
      <c r="T5" s="16" t="s">
        <v>8</v>
      </c>
      <c r="U5" s="37">
        <v>2.1700000000000001E-2</v>
      </c>
      <c r="V5" s="37">
        <v>4.4857667419180985E-2</v>
      </c>
      <c r="X5" t="s">
        <v>11</v>
      </c>
      <c r="Y5">
        <f>B52/B51</f>
        <v>5.6707498617668273E-2</v>
      </c>
      <c r="Z5">
        <f>D52/D51</f>
        <v>4.9999999999999996E-2</v>
      </c>
    </row>
    <row r="6" spans="1:31">
      <c r="A6" s="11" t="s">
        <v>3</v>
      </c>
      <c r="B6" s="4">
        <v>15.999000000000001</v>
      </c>
      <c r="C6" s="4"/>
      <c r="D6" s="4" t="s">
        <v>9</v>
      </c>
      <c r="E6" s="13">
        <f>B4+(4*B5)</f>
        <v>16.0426</v>
      </c>
      <c r="I6">
        <v>96233447.46568121</v>
      </c>
      <c r="P6" s="16" t="s">
        <v>9</v>
      </c>
      <c r="Q6" s="35">
        <v>2.0999999999999999E-3</v>
      </c>
      <c r="R6" s="35">
        <v>3.0965165999406433E-3</v>
      </c>
      <c r="S6" s="4"/>
      <c r="T6" s="16" t="s">
        <v>9</v>
      </c>
      <c r="U6" s="37">
        <v>8.9999999999999998E-4</v>
      </c>
      <c r="V6" s="37">
        <v>6.7819208513911797E-4</v>
      </c>
    </row>
    <row r="7" spans="1:31">
      <c r="A7" s="11" t="s">
        <v>4</v>
      </c>
      <c r="B7" s="4">
        <v>14.007</v>
      </c>
      <c r="C7" s="4"/>
      <c r="D7" s="4" t="s">
        <v>10</v>
      </c>
      <c r="E7" s="13">
        <f>2*B5</f>
        <v>2.0158</v>
      </c>
      <c r="I7">
        <v>2426516.7269283514</v>
      </c>
      <c r="P7" s="16" t="s">
        <v>10</v>
      </c>
      <c r="Q7" s="35">
        <v>0.67969999999999997</v>
      </c>
      <c r="R7" s="35">
        <v>0.12593431188331272</v>
      </c>
      <c r="S7" s="4"/>
      <c r="T7" s="16" t="s">
        <v>10</v>
      </c>
      <c r="U7" s="37">
        <v>0.26140000000000002</v>
      </c>
      <c r="V7" s="37">
        <v>2.4750756444674782E-2</v>
      </c>
    </row>
    <row r="8" spans="1:31">
      <c r="A8" s="11" t="s">
        <v>5</v>
      </c>
      <c r="B8" s="4">
        <v>32.066000000000003</v>
      </c>
      <c r="C8" s="4"/>
      <c r="D8" s="4" t="s">
        <v>11</v>
      </c>
      <c r="E8" s="13">
        <f>2*B7</f>
        <v>28.013999999999999</v>
      </c>
      <c r="I8">
        <v>0</v>
      </c>
      <c r="P8" s="16" t="s">
        <v>11</v>
      </c>
      <c r="Q8" s="35">
        <v>4.4000000000000003E-3</v>
      </c>
      <c r="R8" s="35">
        <v>1.1329406601804945E-2</v>
      </c>
      <c r="S8" s="4"/>
      <c r="T8" s="16" t="s">
        <v>11</v>
      </c>
      <c r="U8" s="37">
        <v>4.9400000000000006E-2</v>
      </c>
      <c r="V8" s="37">
        <v>6.5003617438743666E-2</v>
      </c>
    </row>
    <row r="9" spans="1:31">
      <c r="A9" s="11"/>
      <c r="B9" s="4"/>
      <c r="C9" s="4"/>
      <c r="D9" s="18" t="s">
        <v>22</v>
      </c>
      <c r="E9" s="13">
        <f>(2*B5)+B6</f>
        <v>18.014800000000001</v>
      </c>
      <c r="I9">
        <v>562924306.59366238</v>
      </c>
      <c r="P9" s="16" t="s">
        <v>22</v>
      </c>
      <c r="Q9" s="36">
        <v>0</v>
      </c>
      <c r="R9" s="35">
        <v>0</v>
      </c>
      <c r="S9" s="4"/>
      <c r="T9" s="16" t="s">
        <v>22</v>
      </c>
      <c r="U9" s="37">
        <v>3.2199999999999999E-2</v>
      </c>
      <c r="V9" s="37">
        <v>2.7247130332623194E-2</v>
      </c>
    </row>
    <row r="10" spans="1:31">
      <c r="A10" s="11"/>
      <c r="B10" s="4"/>
      <c r="C10" s="4"/>
      <c r="D10" s="18" t="s">
        <v>23</v>
      </c>
      <c r="E10" s="13">
        <f>(2*B5)+B8</f>
        <v>34.081800000000001</v>
      </c>
      <c r="P10" s="16" t="s">
        <v>23</v>
      </c>
      <c r="Q10" s="36">
        <v>0</v>
      </c>
      <c r="R10" s="35">
        <v>0</v>
      </c>
      <c r="S10" s="4"/>
      <c r="T10" s="16" t="s">
        <v>23</v>
      </c>
      <c r="U10" s="37">
        <v>7.7000000000000002E-3</v>
      </c>
      <c r="V10" s="37">
        <v>1.232675321097625E-2</v>
      </c>
    </row>
    <row r="11" spans="1:31">
      <c r="A11" s="27"/>
      <c r="B11" s="15"/>
      <c r="C11" s="15"/>
      <c r="D11" s="28" t="s">
        <v>24</v>
      </c>
      <c r="E11" s="14">
        <f>B4+B6+B8</f>
        <v>60.076000000000001</v>
      </c>
      <c r="P11" s="16" t="s">
        <v>24</v>
      </c>
      <c r="Q11" s="36">
        <v>0</v>
      </c>
      <c r="R11" s="35">
        <v>0</v>
      </c>
      <c r="S11" s="4"/>
      <c r="T11" s="16" t="s">
        <v>24</v>
      </c>
      <c r="U11" s="37">
        <v>4.0000000000000002E-4</v>
      </c>
      <c r="V11" s="37">
        <v>1.1287465929412288E-3</v>
      </c>
    </row>
    <row r="12" spans="1:31">
      <c r="A12" s="7" t="s">
        <v>35</v>
      </c>
      <c r="B12" s="6">
        <v>275740537.150949</v>
      </c>
      <c r="C12" s="29" t="s">
        <v>47</v>
      </c>
      <c r="D12" s="29"/>
      <c r="E12" s="29"/>
      <c r="F12" s="29"/>
      <c r="G12" s="29"/>
      <c r="H12" s="29"/>
      <c r="P12" s="17" t="s">
        <v>14</v>
      </c>
      <c r="Q12" s="37">
        <v>1</v>
      </c>
      <c r="R12" s="36">
        <v>1.0000000000000002</v>
      </c>
      <c r="S12" s="4"/>
      <c r="T12" s="17" t="s">
        <v>14</v>
      </c>
      <c r="U12" s="37">
        <v>1.0000000000000002</v>
      </c>
      <c r="V12" s="37">
        <v>0.99999999999999967</v>
      </c>
      <c r="W12" s="37"/>
      <c r="X12" s="37"/>
      <c r="Y12" s="37"/>
    </row>
    <row r="13" spans="1:31" ht="47.25">
      <c r="A13" s="55" t="s">
        <v>66</v>
      </c>
      <c r="B13" s="3" t="s">
        <v>15</v>
      </c>
      <c r="C13" s="3" t="s">
        <v>20</v>
      </c>
      <c r="D13" s="3" t="s">
        <v>18</v>
      </c>
      <c r="E13" s="5" t="s">
        <v>19</v>
      </c>
      <c r="F13" s="5" t="s">
        <v>21</v>
      </c>
      <c r="G13" s="5"/>
      <c r="H13" s="55" t="s">
        <v>67</v>
      </c>
      <c r="I13" s="3" t="s">
        <v>16</v>
      </c>
      <c r="J13" s="3" t="s">
        <v>17</v>
      </c>
      <c r="K13" s="3" t="s">
        <v>18</v>
      </c>
      <c r="L13" s="3" t="s">
        <v>19</v>
      </c>
      <c r="M13" s="3" t="s">
        <v>21</v>
      </c>
      <c r="Q13" s="21" t="s">
        <v>33</v>
      </c>
      <c r="R13" s="9"/>
    </row>
    <row r="14" spans="1:31">
      <c r="A14" s="1" t="s">
        <v>7</v>
      </c>
      <c r="B14" s="30">
        <f>$B$12*Q4</f>
        <v>76821313.650254399</v>
      </c>
      <c r="C14" s="30">
        <f>(Q4*$B$12)*E4</f>
        <v>2151764995.3436255</v>
      </c>
      <c r="D14" s="30">
        <f>C14/1000000</f>
        <v>2151.7649953436257</v>
      </c>
      <c r="E14" s="30">
        <f>D14*1.10231131</f>
        <v>2371.914890829376</v>
      </c>
      <c r="F14" s="30">
        <f t="shared" ref="F14:F19" si="0">D14*2204.62262</f>
        <v>4743829.7816587519</v>
      </c>
      <c r="G14" s="30"/>
      <c r="H14" s="1" t="s">
        <v>0</v>
      </c>
      <c r="I14" s="30">
        <f>J14/B4</f>
        <v>87106435.685984775</v>
      </c>
      <c r="J14" s="30">
        <f>R16*$C$19</f>
        <v>1046235399.024363</v>
      </c>
      <c r="K14" s="30">
        <f>J14/1000000</f>
        <v>1046.235399024363</v>
      </c>
      <c r="L14" s="30">
        <f>K14*1.10231131</f>
        <v>1153.2771132669181</v>
      </c>
      <c r="M14" s="30">
        <f>K14*2204.62262</f>
        <v>2306554.2265338367</v>
      </c>
      <c r="Q14" s="20" t="s">
        <v>26</v>
      </c>
      <c r="U14" s="20" t="s">
        <v>29</v>
      </c>
      <c r="X14" s="8" t="s">
        <v>32</v>
      </c>
      <c r="Y14" t="s">
        <v>38</v>
      </c>
      <c r="AA14" s="8" t="s">
        <v>69</v>
      </c>
      <c r="AB14" s="8"/>
      <c r="AD14" s="8" t="s">
        <v>52</v>
      </c>
    </row>
    <row r="15" spans="1:31">
      <c r="A15" s="1" t="s">
        <v>8</v>
      </c>
      <c r="B15" s="30">
        <f>$B$12*Q5</f>
        <v>9706066.9077134058</v>
      </c>
      <c r="C15" s="30">
        <f>(Q5*$B$12)*E5</f>
        <v>427154298.54155928</v>
      </c>
      <c r="D15" s="30">
        <f t="shared" ref="D15:D18" si="1">C15/1000000</f>
        <v>427.15429854155929</v>
      </c>
      <c r="E15" s="30">
        <f t="shared" ref="E15:E19" si="2">D15*1.10231131</f>
        <v>470.85701439747726</v>
      </c>
      <c r="F15" s="30">
        <f t="shared" si="0"/>
        <v>941714.02879495465</v>
      </c>
      <c r="G15" s="30"/>
      <c r="H15" s="1" t="s">
        <v>2</v>
      </c>
      <c r="I15" s="30">
        <f>J15/B5</f>
        <v>377157906.71506792</v>
      </c>
      <c r="J15" s="30">
        <f t="shared" ref="J15:J17" si="3">R17*$C$19</f>
        <v>380137454.17811698</v>
      </c>
      <c r="K15" s="30">
        <f t="shared" ref="K15:K17" si="4">J15/1000000</f>
        <v>380.13745417811697</v>
      </c>
      <c r="L15" s="30">
        <f t="shared" ref="L15:L17" si="5">K15*1.10231131</f>
        <v>419.02981509514507</v>
      </c>
      <c r="M15" s="30">
        <f t="shared" ref="M15:M17" si="6">K15*2204.62262</f>
        <v>838059.63019029016</v>
      </c>
      <c r="Q15" s="12" t="s">
        <v>28</v>
      </c>
      <c r="R15" s="16" t="s">
        <v>25</v>
      </c>
      <c r="U15" s="12" t="s">
        <v>28</v>
      </c>
      <c r="V15" s="16" t="s">
        <v>25</v>
      </c>
      <c r="X15" s="12" t="s">
        <v>28</v>
      </c>
      <c r="Y15" s="1" t="s">
        <v>25</v>
      </c>
      <c r="AA15" s="12" t="s">
        <v>28</v>
      </c>
      <c r="AB15" s="16" t="s">
        <v>25</v>
      </c>
      <c r="AD15" s="12" t="s">
        <v>28</v>
      </c>
      <c r="AE15" s="1" t="s">
        <v>25</v>
      </c>
    </row>
    <row r="16" spans="1:31">
      <c r="A16" s="1" t="s">
        <v>9</v>
      </c>
      <c r="B16" s="30">
        <f>$B$12*Q6</f>
        <v>579055.12801699282</v>
      </c>
      <c r="C16" s="30">
        <f>(Q6*$B$12)*E6</f>
        <v>9289549.7967254091</v>
      </c>
      <c r="D16" s="30">
        <f>C16/1000000</f>
        <v>9.2895497967254084</v>
      </c>
      <c r="E16" s="30">
        <f t="shared" si="2"/>
        <v>10.239975805738618</v>
      </c>
      <c r="F16" s="30">
        <f t="shared" si="0"/>
        <v>20479.951611477238</v>
      </c>
      <c r="G16" s="30"/>
      <c r="H16" s="1" t="s">
        <v>3</v>
      </c>
      <c r="I16" s="30">
        <f t="shared" ref="I16:I18" si="7">J16/B6</f>
        <v>96233447.465681195</v>
      </c>
      <c r="J16" s="30">
        <f t="shared" si="3"/>
        <v>1539638926.0034335</v>
      </c>
      <c r="K16" s="30">
        <f t="shared" si="4"/>
        <v>1539.6389260034334</v>
      </c>
      <c r="L16" s="30">
        <f t="shared" si="5"/>
        <v>1697.1614014498377</v>
      </c>
      <c r="M16" s="30">
        <f>K16*2204.62262</f>
        <v>3394322.8028996759</v>
      </c>
      <c r="P16" s="16" t="s">
        <v>0</v>
      </c>
      <c r="Q16" s="31">
        <v>0.15473916238060251</v>
      </c>
      <c r="R16" s="31">
        <v>0.34874513312436944</v>
      </c>
      <c r="T16" s="16" t="s">
        <v>0</v>
      </c>
      <c r="U16" s="31">
        <v>0.31447667942073915</v>
      </c>
      <c r="V16" s="31">
        <v>0.36631948699778794</v>
      </c>
      <c r="X16" s="31">
        <v>0.60179836601989978</v>
      </c>
      <c r="Y16" s="31">
        <v>0.83299999999999996</v>
      </c>
      <c r="AA16" s="31">
        <v>0</v>
      </c>
      <c r="AB16" s="31">
        <v>0</v>
      </c>
      <c r="AD16" s="31">
        <v>0</v>
      </c>
      <c r="AE16" s="31">
        <v>0</v>
      </c>
    </row>
    <row r="17" spans="1:31">
      <c r="A17" s="1" t="s">
        <v>10</v>
      </c>
      <c r="B17" s="30">
        <f>$B$12*Q7</f>
        <v>187420843.10150003</v>
      </c>
      <c r="C17" s="30">
        <f>(Q7*$B$12)*E7</f>
        <v>377802935.5240038</v>
      </c>
      <c r="D17" s="30">
        <f t="shared" si="1"/>
        <v>377.80293552400383</v>
      </c>
      <c r="E17" s="30">
        <f t="shared" si="2"/>
        <v>416.45644877931016</v>
      </c>
      <c r="F17" s="30">
        <f t="shared" si="0"/>
        <v>832912.89755862043</v>
      </c>
      <c r="G17" s="30"/>
      <c r="H17" s="1" t="s">
        <v>4</v>
      </c>
      <c r="I17" s="47">
        <f t="shared" si="7"/>
        <v>2426516.7269283505</v>
      </c>
      <c r="J17" s="30">
        <f t="shared" si="3"/>
        <v>33988219.794085406</v>
      </c>
      <c r="K17" s="30">
        <f t="shared" si="4"/>
        <v>33.988219794085403</v>
      </c>
      <c r="L17" s="30">
        <f t="shared" si="5"/>
        <v>37.465599085786209</v>
      </c>
      <c r="M17" s="30">
        <f t="shared" si="6"/>
        <v>74931.198171572425</v>
      </c>
      <c r="P17" s="16" t="s">
        <v>2</v>
      </c>
      <c r="Q17" s="31">
        <v>0.66999755082047507</v>
      </c>
      <c r="R17" s="31">
        <v>0.12671248476827651</v>
      </c>
      <c r="T17" s="16" t="s">
        <v>2</v>
      </c>
      <c r="U17" s="31">
        <v>0.29360197607400584</v>
      </c>
      <c r="V17" s="31">
        <v>2.8699136489598025E-2</v>
      </c>
      <c r="X17" s="31">
        <v>0.34437190727538242</v>
      </c>
      <c r="Y17" s="31">
        <v>0.04</v>
      </c>
      <c r="AA17" s="31">
        <v>0</v>
      </c>
      <c r="AB17" s="31">
        <v>0</v>
      </c>
      <c r="AD17" s="31">
        <f>I44/I46</f>
        <v>0.66666666666666663</v>
      </c>
      <c r="AE17" s="31">
        <f>K44/K46</f>
        <v>0.11189688478362234</v>
      </c>
    </row>
    <row r="18" spans="1:31">
      <c r="A18" s="1" t="s">
        <v>11</v>
      </c>
      <c r="B18" s="30">
        <f>$B$12*Q8</f>
        <v>1213258.3634641757</v>
      </c>
      <c r="C18" s="30">
        <f>(Q8*$B$12)*E8</f>
        <v>33988219.794085421</v>
      </c>
      <c r="D18" s="30">
        <f t="shared" si="1"/>
        <v>33.988219794085424</v>
      </c>
      <c r="E18" s="30">
        <f t="shared" si="2"/>
        <v>37.465599085786231</v>
      </c>
      <c r="F18" s="30">
        <f t="shared" si="0"/>
        <v>74931.198171572469</v>
      </c>
      <c r="G18" s="30"/>
      <c r="H18" s="1" t="s">
        <v>5</v>
      </c>
      <c r="I18" s="30">
        <f t="shared" si="7"/>
        <v>0</v>
      </c>
      <c r="J18" s="30">
        <f>R20*$C$19</f>
        <v>0</v>
      </c>
      <c r="K18">
        <v>0</v>
      </c>
      <c r="L18">
        <v>0</v>
      </c>
      <c r="M18">
        <v>0</v>
      </c>
      <c r="P18" s="16" t="s">
        <v>3</v>
      </c>
      <c r="Q18" s="31">
        <v>0.17095273083517024</v>
      </c>
      <c r="R18" s="31">
        <v>0.5132129755055489</v>
      </c>
      <c r="T18" s="16" t="s">
        <v>3</v>
      </c>
      <c r="U18" s="31">
        <v>0.34014626822298644</v>
      </c>
      <c r="V18" s="31">
        <v>0.52777760656625683</v>
      </c>
      <c r="X18" s="31">
        <v>2.4081043460877073E-2</v>
      </c>
      <c r="Y18" s="31">
        <v>4.4400000000000002E-2</v>
      </c>
      <c r="AA18" s="31">
        <f>I50/I52</f>
        <v>0.94329250138233178</v>
      </c>
      <c r="AB18" s="31">
        <f>K50/K52</f>
        <v>0.95</v>
      </c>
      <c r="AD18" s="31">
        <f>I45/I46</f>
        <v>0.33333333333333331</v>
      </c>
      <c r="AE18" s="31">
        <f>K45/K46</f>
        <v>0.88810311521637764</v>
      </c>
    </row>
    <row r="19" spans="1:31">
      <c r="A19" s="1" t="s">
        <v>14</v>
      </c>
      <c r="B19" s="30">
        <f>SUM(B14:B18)</f>
        <v>275740537.150949</v>
      </c>
      <c r="C19" s="30">
        <f>SUM(C14:C18)</f>
        <v>2999999998.9999995</v>
      </c>
      <c r="D19" s="33">
        <f>C19/1000000</f>
        <v>2999.9999989999997</v>
      </c>
      <c r="E19" s="30">
        <f t="shared" si="2"/>
        <v>3306.933928897688</v>
      </c>
      <c r="F19" s="30">
        <f t="shared" si="0"/>
        <v>6613867.8577953773</v>
      </c>
      <c r="G19" s="30"/>
      <c r="H19" s="32" t="s">
        <v>14</v>
      </c>
      <c r="I19" s="30">
        <f t="shared" ref="I19:M19" si="8">SUM(I14:I18)</f>
        <v>562924306.59366226</v>
      </c>
      <c r="J19" s="30">
        <f>SUM(J14:J18)</f>
        <v>2999999998.999999</v>
      </c>
      <c r="K19" s="30">
        <f t="shared" si="8"/>
        <v>2999.9999989999992</v>
      </c>
      <c r="L19" s="30">
        <f t="shared" si="8"/>
        <v>3306.9339288976871</v>
      </c>
      <c r="M19" s="30">
        <f t="shared" si="8"/>
        <v>6613867.8577953754</v>
      </c>
      <c r="P19" s="16" t="s">
        <v>4</v>
      </c>
      <c r="Q19" s="31">
        <v>4.310555963752143E-3</v>
      </c>
      <c r="R19" s="31">
        <v>1.1329406601804939E-2</v>
      </c>
      <c r="T19" s="16" t="s">
        <v>4</v>
      </c>
      <c r="U19" s="31">
        <v>4.7851988182302511E-2</v>
      </c>
      <c r="V19" s="31">
        <v>6.5003617438743652E-2</v>
      </c>
      <c r="X19" s="31">
        <v>1.3133361607176033E-2</v>
      </c>
      <c r="Y19" s="31">
        <v>2.12E-2</v>
      </c>
      <c r="AA19" s="31">
        <f>I51/I52</f>
        <v>5.6707498617668273E-2</v>
      </c>
      <c r="AB19" s="31">
        <f>K51/K52</f>
        <v>4.999999999999994E-2</v>
      </c>
      <c r="AD19" s="31">
        <v>0</v>
      </c>
      <c r="AE19" s="31">
        <v>0</v>
      </c>
    </row>
    <row r="20" spans="1:31">
      <c r="A20" s="1"/>
      <c r="F20" s="2"/>
      <c r="P20" s="16" t="s">
        <v>5</v>
      </c>
      <c r="Q20" s="31">
        <v>0</v>
      </c>
      <c r="R20" s="31">
        <v>0</v>
      </c>
      <c r="T20" s="16" t="s">
        <v>5</v>
      </c>
      <c r="U20" s="31">
        <v>3.9230880999660961E-3</v>
      </c>
      <c r="V20" s="31">
        <v>1.2200152507613393E-2</v>
      </c>
      <c r="X20" s="31">
        <v>1.6615321636664591E-2</v>
      </c>
      <c r="Y20" s="31">
        <v>6.1399999999999996E-2</v>
      </c>
      <c r="AA20" s="31">
        <v>0</v>
      </c>
      <c r="AB20" s="31">
        <v>0</v>
      </c>
      <c r="AD20" s="31">
        <v>0</v>
      </c>
      <c r="AE20" s="31">
        <v>0</v>
      </c>
    </row>
    <row r="21" spans="1:31">
      <c r="A21" s="1"/>
      <c r="P21" s="17" t="s">
        <v>14</v>
      </c>
      <c r="Q21" s="31">
        <v>1</v>
      </c>
      <c r="R21" s="31">
        <v>1</v>
      </c>
      <c r="T21" s="17" t="s">
        <v>14</v>
      </c>
      <c r="U21" s="31">
        <v>1</v>
      </c>
      <c r="V21" s="31">
        <v>1.0000000000000002</v>
      </c>
      <c r="X21" s="31">
        <v>0.99999999999999978</v>
      </c>
      <c r="Y21" s="31">
        <v>1</v>
      </c>
      <c r="Z21" s="31"/>
      <c r="AA21" s="31">
        <f t="shared" ref="AA21:AB21" si="9">SUM(AA16:AA20)</f>
        <v>1</v>
      </c>
      <c r="AB21" s="31">
        <f t="shared" si="9"/>
        <v>0.99999999999999989</v>
      </c>
      <c r="AD21" s="31"/>
      <c r="AE21" s="31"/>
    </row>
    <row r="22" spans="1:31" ht="47.25">
      <c r="A22" s="42" t="s">
        <v>68</v>
      </c>
      <c r="H22" s="34" t="s">
        <v>37</v>
      </c>
      <c r="I22" s="3" t="s">
        <v>15</v>
      </c>
      <c r="J22" s="3" t="s">
        <v>20</v>
      </c>
      <c r="K22" s="3" t="s">
        <v>12</v>
      </c>
      <c r="L22" s="3" t="s">
        <v>19</v>
      </c>
      <c r="M22" s="3" t="s">
        <v>21</v>
      </c>
    </row>
    <row r="23" spans="1:31">
      <c r="H23" s="16" t="s">
        <v>0</v>
      </c>
      <c r="I23" s="47">
        <f>I32</f>
        <v>695498918.46771049</v>
      </c>
      <c r="J23" s="30">
        <f>I23*B4</f>
        <v>8353637509.7156706</v>
      </c>
      <c r="K23" s="30">
        <f>J23/1000000</f>
        <v>8353.6375097156706</v>
      </c>
      <c r="L23" s="30">
        <f>K23*1.10231131</f>
        <v>9208.3091065998178</v>
      </c>
      <c r="M23" s="30">
        <f>K23*2204.62262</f>
        <v>18416618.213199638</v>
      </c>
      <c r="N23" s="3"/>
      <c r="O23" s="3"/>
      <c r="X23" s="43">
        <v>0.76834918907344008</v>
      </c>
      <c r="Y23" s="43">
        <v>0.83299999999999996</v>
      </c>
    </row>
    <row r="24" spans="1:31">
      <c r="B24" s="1" t="s">
        <v>7</v>
      </c>
      <c r="C24">
        <f>B14/$B$19</f>
        <v>0.27860000000000001</v>
      </c>
      <c r="E24" t="s">
        <v>102</v>
      </c>
      <c r="F24">
        <f>B14/B17</f>
        <v>0.40988671472708554</v>
      </c>
      <c r="H24" s="16" t="s">
        <v>2</v>
      </c>
      <c r="I24" s="30">
        <f>$I$23*(X17/$X$16)</f>
        <v>397990926.17139345</v>
      </c>
      <c r="J24" s="30">
        <f>I24*B5</f>
        <v>401135054.4881475</v>
      </c>
      <c r="K24" s="30">
        <f t="shared" ref="K24:K27" si="10">J24/1000000</f>
        <v>401.13505448814749</v>
      </c>
      <c r="L24" s="30">
        <f t="shared" ref="L24:L27" si="11">K24*1.10231131</f>
        <v>442.17570739975122</v>
      </c>
      <c r="M24" s="30">
        <f t="shared" ref="M24:M27" si="12">K24*2204.62262</f>
        <v>884351.41479950247</v>
      </c>
      <c r="P24" t="s">
        <v>30</v>
      </c>
      <c r="Q24" t="s">
        <v>42</v>
      </c>
      <c r="R24" s="16"/>
      <c r="X24" s="43">
        <v>3.0960780855529106E-3</v>
      </c>
      <c r="Y24" s="43">
        <v>0.04</v>
      </c>
    </row>
    <row r="25" spans="1:31">
      <c r="B25" s="1" t="s">
        <v>8</v>
      </c>
      <c r="C25">
        <f t="shared" ref="C25:C28" si="13">B15/$B$19</f>
        <v>3.5200000000000002E-2</v>
      </c>
      <c r="H25" s="16" t="s">
        <v>3</v>
      </c>
      <c r="I25" s="30">
        <f>$I$23*(X18/$X$16)</f>
        <v>27830483.810353376</v>
      </c>
      <c r="J25" s="30">
        <f>I25*B6</f>
        <v>445259910.48184365</v>
      </c>
      <c r="K25" s="30">
        <f t="shared" si="10"/>
        <v>445.25991048184363</v>
      </c>
      <c r="L25" s="30">
        <f t="shared" si="11"/>
        <v>490.81503521372377</v>
      </c>
      <c r="M25" s="30">
        <f t="shared" si="12"/>
        <v>981630.07042744767</v>
      </c>
      <c r="N25" s="4"/>
      <c r="O25" s="4"/>
      <c r="P25" t="s">
        <v>31</v>
      </c>
      <c r="Q25" s="4" t="s">
        <v>43</v>
      </c>
      <c r="R25" s="4"/>
      <c r="S25" s="4"/>
      <c r="X25" s="43">
        <v>5.4551949749721926E-2</v>
      </c>
      <c r="Y25" s="43">
        <v>4.4400000000000002E-2</v>
      </c>
    </row>
    <row r="26" spans="1:31">
      <c r="B26" s="1" t="s">
        <v>9</v>
      </c>
      <c r="C26">
        <f t="shared" si="13"/>
        <v>2.0999999999999999E-3</v>
      </c>
      <c r="E26" t="s">
        <v>103</v>
      </c>
      <c r="F26">
        <f>(B14+B15+B16)/(2*B17+4*B16)</f>
        <v>0.23095481795584155</v>
      </c>
      <c r="H26" s="16" t="s">
        <v>4</v>
      </c>
      <c r="I26" s="30">
        <f t="shared" ref="I26:I27" si="14">$I$23*(X19/$X$16)</f>
        <v>15178237.943793686</v>
      </c>
      <c r="J26" s="30">
        <f>I26*B7</f>
        <v>212601578.87871817</v>
      </c>
      <c r="K26" s="30">
        <f t="shared" si="10"/>
        <v>212.60157887871816</v>
      </c>
      <c r="L26" s="30">
        <f t="shared" si="11"/>
        <v>234.35312492186813</v>
      </c>
      <c r="M26" s="30">
        <f t="shared" si="12"/>
        <v>468706.2498437363</v>
      </c>
      <c r="N26" s="4"/>
      <c r="O26" s="4"/>
      <c r="P26" t="s">
        <v>38</v>
      </c>
      <c r="Q26" s="4" t="s">
        <v>44</v>
      </c>
      <c r="R26" s="4"/>
      <c r="S26" s="4"/>
      <c r="X26" s="43">
        <v>2.2804232408473058E-2</v>
      </c>
      <c r="Y26" s="43">
        <v>2.12E-2</v>
      </c>
    </row>
    <row r="27" spans="1:31">
      <c r="B27" s="1" t="s">
        <v>10</v>
      </c>
      <c r="C27">
        <f t="shared" si="13"/>
        <v>0.67969999999999997</v>
      </c>
      <c r="H27" s="16" t="s">
        <v>5</v>
      </c>
      <c r="I27" s="30">
        <f t="shared" si="14"/>
        <v>19202342.313955784</v>
      </c>
      <c r="J27" s="30">
        <f>I27*B8</f>
        <v>615742308.63930619</v>
      </c>
      <c r="K27" s="30">
        <f t="shared" si="10"/>
        <v>615.7423086393062</v>
      </c>
      <c r="L27" s="30">
        <f t="shared" si="11"/>
        <v>678.73971085861785</v>
      </c>
      <c r="M27" s="30">
        <f t="shared" si="12"/>
        <v>1357479.4217172358</v>
      </c>
      <c r="N27" s="4"/>
      <c r="O27" s="4"/>
      <c r="Q27" s="4"/>
      <c r="R27" s="4"/>
      <c r="S27" s="16"/>
      <c r="X27" s="43">
        <v>0.1511985506828121</v>
      </c>
      <c r="Y27" s="43">
        <v>6.1399999999999996E-2</v>
      </c>
    </row>
    <row r="28" spans="1:31">
      <c r="B28" s="1" t="s">
        <v>11</v>
      </c>
      <c r="C28">
        <f t="shared" si="13"/>
        <v>4.4000000000000003E-3</v>
      </c>
      <c r="H28" s="17" t="s">
        <v>39</v>
      </c>
      <c r="I28" s="30">
        <f>I23/(1-(X17+X18+X19+X20))</f>
        <v>1155700908.7072067</v>
      </c>
      <c r="J28" s="30">
        <f t="shared" ref="J28" si="15">SUM(J23:J27)</f>
        <v>10028376362.203686</v>
      </c>
      <c r="K28" s="30">
        <f>SUM(K23:K27)</f>
        <v>10028.376362203688</v>
      </c>
      <c r="L28" s="30">
        <f>SUM(L23:L27)</f>
        <v>11054.392684993778</v>
      </c>
      <c r="M28" s="30">
        <f>SUM(M23:M27)</f>
        <v>22108785.369987562</v>
      </c>
      <c r="N28" s="4"/>
      <c r="O28" s="4"/>
      <c r="P28" t="s">
        <v>45</v>
      </c>
      <c r="Q28" s="4"/>
      <c r="R28" s="4"/>
      <c r="S28" s="4"/>
    </row>
    <row r="29" spans="1:31">
      <c r="C29">
        <f>B19/$B$19</f>
        <v>1</v>
      </c>
      <c r="K29" s="16"/>
      <c r="L29" s="4"/>
      <c r="M29" s="4"/>
      <c r="N29" s="4"/>
      <c r="O29" s="4"/>
      <c r="P29" t="s">
        <v>48</v>
      </c>
      <c r="Q29" s="4"/>
      <c r="S29" s="4"/>
    </row>
    <row r="30" spans="1:31">
      <c r="A30" s="16"/>
      <c r="K30" s="16"/>
      <c r="L30" s="4"/>
      <c r="M30" s="4"/>
      <c r="N30" s="4"/>
      <c r="O30" s="4"/>
      <c r="P30" t="s">
        <v>46</v>
      </c>
      <c r="Q30" s="4"/>
      <c r="S30" s="4"/>
    </row>
    <row r="31" spans="1:31" ht="47.25">
      <c r="A31" s="34" t="s">
        <v>40</v>
      </c>
      <c r="B31" s="3" t="s">
        <v>15</v>
      </c>
      <c r="C31" s="3" t="s">
        <v>20</v>
      </c>
      <c r="D31" s="3" t="s">
        <v>12</v>
      </c>
      <c r="E31" s="3" t="s">
        <v>19</v>
      </c>
      <c r="F31" s="3" t="s">
        <v>21</v>
      </c>
      <c r="H31" s="34" t="s">
        <v>41</v>
      </c>
      <c r="I31" s="3" t="s">
        <v>15</v>
      </c>
      <c r="J31" s="3" t="s">
        <v>20</v>
      </c>
      <c r="K31" s="3" t="s">
        <v>12</v>
      </c>
      <c r="L31" s="3" t="s">
        <v>19</v>
      </c>
      <c r="M31" s="3" t="s">
        <v>21</v>
      </c>
      <c r="N31" s="4"/>
      <c r="O31" s="4"/>
      <c r="S31" s="4"/>
    </row>
    <row r="32" spans="1:31">
      <c r="A32" s="16" t="s">
        <v>7</v>
      </c>
      <c r="B32" s="30">
        <f>B14</f>
        <v>76821313.650254399</v>
      </c>
      <c r="C32" s="30">
        <f>B32*E4</f>
        <v>2151764995.3436255</v>
      </c>
      <c r="D32" s="30">
        <f>C32/1000000</f>
        <v>2151.7649953436257</v>
      </c>
      <c r="E32" s="30">
        <f>D32*1.10231131</f>
        <v>2371.914890829376</v>
      </c>
      <c r="F32" s="30">
        <f>D32*2204.62262</f>
        <v>4743829.7816587519</v>
      </c>
      <c r="H32" s="16" t="s">
        <v>0</v>
      </c>
      <c r="I32" s="47">
        <f>I33*(U16/$U$19)</f>
        <v>695498918.46771049</v>
      </c>
      <c r="J32" s="30">
        <f>I32*B4</f>
        <v>8353637509.7156706</v>
      </c>
      <c r="K32" s="30">
        <f>J32/1000000</f>
        <v>8353.6375097156706</v>
      </c>
      <c r="L32" s="30">
        <f>K32*1.10231131</f>
        <v>9208.3091065998178</v>
      </c>
      <c r="M32" s="30">
        <f>K32*2204.62262</f>
        <v>18416618.213199638</v>
      </c>
      <c r="N32" s="4"/>
      <c r="O32" s="4"/>
      <c r="P32" s="16"/>
      <c r="Q32" s="4"/>
      <c r="R32" s="4"/>
      <c r="S32" s="4"/>
      <c r="U32" s="31"/>
      <c r="V32" s="31"/>
    </row>
    <row r="33" spans="1:22">
      <c r="A33" s="16" t="s">
        <v>8</v>
      </c>
      <c r="B33" s="30">
        <f>$B$32*(U5/$U$4)</f>
        <v>2661699.674613636</v>
      </c>
      <c r="C33" s="30">
        <f t="shared" ref="C33:C39" si="16">B33*E5</f>
        <v>117138740.9800715</v>
      </c>
      <c r="D33" s="30">
        <f t="shared" ref="D33:D39" si="17">C33/1000000</f>
        <v>117.1387409800715</v>
      </c>
      <c r="E33" s="30">
        <f t="shared" ref="E33:E39" si="18">D33*1.10231131</f>
        <v>129.12335902149329</v>
      </c>
      <c r="F33" s="30">
        <f t="shared" ref="F33:F39" si="19">D33*2204.62262</f>
        <v>258246.71804298661</v>
      </c>
      <c r="H33" s="16" t="s">
        <v>2</v>
      </c>
      <c r="I33" s="30">
        <f>I34*(U17/$U$19)</f>
        <v>105829806.16758013</v>
      </c>
      <c r="J33" s="30">
        <f>I33*B5</f>
        <v>106665861.63630401</v>
      </c>
      <c r="K33" s="30">
        <f t="shared" ref="K33:K36" si="20">J33/1000000</f>
        <v>106.665861636304</v>
      </c>
      <c r="L33" s="30">
        <f t="shared" ref="L33:L36" si="21">K33*1.10231131</f>
        <v>117.57898567259301</v>
      </c>
      <c r="M33" s="30">
        <f t="shared" ref="M33:M36" si="22">K33*2204.62262</f>
        <v>235157.97134518603</v>
      </c>
      <c r="N33" s="4"/>
      <c r="O33" s="4"/>
      <c r="P33" s="16"/>
      <c r="Q33" s="4"/>
      <c r="R33" s="4"/>
      <c r="S33" s="4"/>
      <c r="U33" s="31"/>
      <c r="V33" s="31"/>
    </row>
    <row r="34" spans="1:22">
      <c r="A34" s="16" t="s">
        <v>9</v>
      </c>
      <c r="B34" s="30">
        <f>$B$32*(U6/$U$4)</f>
        <v>110393.07406231669</v>
      </c>
      <c r="C34" s="30">
        <f t="shared" si="16"/>
        <v>1770991.9299521218</v>
      </c>
      <c r="D34" s="30">
        <f t="shared" si="17"/>
        <v>1.7709919299521217</v>
      </c>
      <c r="E34" s="30">
        <f t="shared" si="18"/>
        <v>1.9521844343049515</v>
      </c>
      <c r="F34" s="30">
        <f t="shared" si="19"/>
        <v>3904.3688686099031</v>
      </c>
      <c r="H34" s="16" t="s">
        <v>3</v>
      </c>
      <c r="I34" s="30">
        <f>I35*(U18/$U$19)</f>
        <v>17248407.86762936</v>
      </c>
      <c r="J34" s="30">
        <f>I34*B6</f>
        <v>275957277.47420216</v>
      </c>
      <c r="K34" s="30">
        <f t="shared" si="20"/>
        <v>275.95727747420216</v>
      </c>
      <c r="L34" s="30">
        <f t="shared" si="21"/>
        <v>304.19082803662127</v>
      </c>
      <c r="M34" s="30">
        <f t="shared" si="22"/>
        <v>608381.65607324254</v>
      </c>
      <c r="N34" s="4"/>
      <c r="O34" s="4"/>
      <c r="P34" s="4"/>
      <c r="Q34" s="4"/>
      <c r="R34" s="4"/>
      <c r="S34" s="4"/>
      <c r="U34" s="31"/>
      <c r="V34" s="31"/>
    </row>
    <row r="35" spans="1:22">
      <c r="A35" s="16" t="s">
        <v>10</v>
      </c>
      <c r="B35" s="30">
        <f t="shared" ref="B35:B39" si="23">$B$32*(U7/$U$4)</f>
        <v>32063055.066543989</v>
      </c>
      <c r="C35" s="30">
        <f t="shared" si="16"/>
        <v>64632706.403139375</v>
      </c>
      <c r="D35" s="30">
        <f t="shared" si="17"/>
        <v>64.63270640313938</v>
      </c>
      <c r="E35" s="30">
        <f t="shared" si="18"/>
        <v>71.24536326408996</v>
      </c>
      <c r="F35" s="30">
        <f t="shared" si="19"/>
        <v>142490.72652817992</v>
      </c>
      <c r="H35" s="16" t="s">
        <v>4</v>
      </c>
      <c r="I35" s="47">
        <f>I17</f>
        <v>2426516.7269283505</v>
      </c>
      <c r="J35" s="30">
        <f>I35*B7</f>
        <v>33988219.794085406</v>
      </c>
      <c r="K35" s="30">
        <f t="shared" si="20"/>
        <v>33.988219794085403</v>
      </c>
      <c r="L35" s="30">
        <f t="shared" si="21"/>
        <v>37.465599085786209</v>
      </c>
      <c r="M35" s="30">
        <f t="shared" si="22"/>
        <v>74931.198171572425</v>
      </c>
      <c r="N35" s="4"/>
      <c r="O35" s="4"/>
      <c r="P35" s="4"/>
      <c r="Q35" s="4"/>
      <c r="R35" s="4"/>
      <c r="S35" s="4"/>
      <c r="U35" s="31"/>
      <c r="V35" s="31"/>
    </row>
    <row r="36" spans="1:22">
      <c r="A36" s="16" t="s">
        <v>11</v>
      </c>
      <c r="B36" s="30">
        <f t="shared" si="23"/>
        <v>6059353.1763093835</v>
      </c>
      <c r="C36" s="30">
        <f t="shared" si="16"/>
        <v>169746719.88113105</v>
      </c>
      <c r="D36" s="30">
        <f t="shared" si="17"/>
        <v>169.74671988113104</v>
      </c>
      <c r="E36" s="30">
        <f t="shared" si="18"/>
        <v>187.1137291603726</v>
      </c>
      <c r="F36" s="30">
        <f t="shared" si="19"/>
        <v>374227.45832074521</v>
      </c>
      <c r="H36" s="16" t="s">
        <v>5</v>
      </c>
      <c r="I36" s="30">
        <f>I35*(U20/U19)</f>
        <v>198935.07579068461</v>
      </c>
      <c r="J36" s="30">
        <f>I36*B8</f>
        <v>6379052.1403040932</v>
      </c>
      <c r="K36" s="30">
        <f t="shared" si="20"/>
        <v>6.3790521403040934</v>
      </c>
      <c r="L36" s="30">
        <f t="shared" si="21"/>
        <v>7.0317013213369082</v>
      </c>
      <c r="M36" s="30">
        <f t="shared" si="22"/>
        <v>14063.402642673818</v>
      </c>
      <c r="U36" s="31"/>
      <c r="V36" s="31"/>
    </row>
    <row r="37" spans="1:22">
      <c r="A37" s="16" t="s">
        <v>22</v>
      </c>
      <c r="B37" s="30">
        <f t="shared" si="23"/>
        <v>3949618.8720073309</v>
      </c>
      <c r="C37" s="30">
        <f t="shared" si="16"/>
        <v>71151594.055437669</v>
      </c>
      <c r="D37" s="30">
        <f t="shared" si="17"/>
        <v>71.15159405543767</v>
      </c>
      <c r="E37" s="30">
        <f t="shared" si="18"/>
        <v>78.4312068518377</v>
      </c>
      <c r="F37" s="30">
        <f t="shared" si="19"/>
        <v>156862.41370367544</v>
      </c>
      <c r="H37" s="17" t="s">
        <v>14</v>
      </c>
      <c r="I37" s="30">
        <f>SUM(I32:I36)</f>
        <v>821202584.30563903</v>
      </c>
      <c r="J37" s="30">
        <f t="shared" ref="J37:M37" si="24">SUM(J32:J36)</f>
        <v>8776627920.7605648</v>
      </c>
      <c r="K37" s="30">
        <f t="shared" si="24"/>
        <v>8776.6279207605676</v>
      </c>
      <c r="L37" s="30">
        <f t="shared" si="24"/>
        <v>9674.5762207161551</v>
      </c>
      <c r="M37" s="30">
        <f t="shared" si="24"/>
        <v>19349152.441432312</v>
      </c>
      <c r="U37" s="31"/>
      <c r="V37" s="31"/>
    </row>
    <row r="38" spans="1:22">
      <c r="A38" s="16" t="s">
        <v>23</v>
      </c>
      <c r="B38" s="30">
        <f t="shared" si="23"/>
        <v>944474.07808870962</v>
      </c>
      <c r="C38" s="30">
        <f t="shared" si="16"/>
        <v>32189376.634603783</v>
      </c>
      <c r="D38" s="30">
        <f t="shared" si="17"/>
        <v>32.189376634603782</v>
      </c>
      <c r="E38" s="30">
        <f t="shared" si="18"/>
        <v>35.482713926173481</v>
      </c>
      <c r="F38" s="30">
        <f t="shared" si="19"/>
        <v>70965.427852346969</v>
      </c>
    </row>
    <row r="39" spans="1:22">
      <c r="A39" s="16" t="s">
        <v>24</v>
      </c>
      <c r="B39" s="30">
        <f t="shared" si="23"/>
        <v>49063.588472140756</v>
      </c>
      <c r="C39" s="30">
        <f t="shared" si="16"/>
        <v>2947544.1410523281</v>
      </c>
      <c r="D39" s="30">
        <f t="shared" si="17"/>
        <v>2.9475441410523282</v>
      </c>
      <c r="E39" s="30">
        <f t="shared" si="18"/>
        <v>3.2491112434062166</v>
      </c>
      <c r="F39" s="30">
        <f t="shared" si="19"/>
        <v>6498.222486812434</v>
      </c>
    </row>
    <row r="40" spans="1:22">
      <c r="A40" s="17" t="s">
        <v>14</v>
      </c>
      <c r="B40" s="30">
        <f>SUM(B32:B39)</f>
        <v>122658971.1803519</v>
      </c>
      <c r="C40" s="30">
        <f t="shared" ref="C40:D40" si="25">SUM(C32:C39)</f>
        <v>2611342669.3690138</v>
      </c>
      <c r="D40" s="30">
        <f t="shared" si="25"/>
        <v>2611.3426693690135</v>
      </c>
      <c r="E40" s="30">
        <f>SUM(E32:E39)</f>
        <v>2878.512558731054</v>
      </c>
      <c r="F40" s="30">
        <f t="shared" ref="F40" si="26">SUM(F32:F39)</f>
        <v>5757025.1174621079</v>
      </c>
    </row>
    <row r="43" spans="1:22" ht="47.25">
      <c r="A43" s="40" t="s">
        <v>62</v>
      </c>
      <c r="B43" s="3" t="s">
        <v>15</v>
      </c>
      <c r="C43" s="3" t="s">
        <v>49</v>
      </c>
      <c r="D43" s="3" t="s">
        <v>12</v>
      </c>
      <c r="E43" s="3" t="s">
        <v>19</v>
      </c>
      <c r="F43" s="3" t="s">
        <v>21</v>
      </c>
      <c r="H43" s="41" t="s">
        <v>63</v>
      </c>
      <c r="I43" s="3" t="s">
        <v>15</v>
      </c>
      <c r="J43" s="3" t="s">
        <v>20</v>
      </c>
      <c r="K43" s="3" t="s">
        <v>12</v>
      </c>
      <c r="L43" s="3" t="s">
        <v>19</v>
      </c>
      <c r="M43" s="3" t="s">
        <v>21</v>
      </c>
    </row>
    <row r="44" spans="1:22">
      <c r="A44" s="1" t="s">
        <v>22</v>
      </c>
      <c r="B44">
        <f>((2*B34)+B35+B37+B38)-(0.5*I24)</f>
        <v>-161817528.92093205</v>
      </c>
      <c r="C44">
        <f>B44*E9</f>
        <v>-2915110420.004807</v>
      </c>
      <c r="D44">
        <f>C44/1000000</f>
        <v>-2915.1104200048071</v>
      </c>
      <c r="E44">
        <f>D44*1.10231131</f>
        <v>-3213.3591858701488</v>
      </c>
      <c r="F44">
        <f>D44*2204.62262</f>
        <v>-6426718.3717402983</v>
      </c>
      <c r="H44" s="1" t="s">
        <v>2</v>
      </c>
      <c r="I44">
        <f>2*B44</f>
        <v>-323635057.84186411</v>
      </c>
      <c r="J44">
        <f>I44*B5</f>
        <v>-326191774.79881483</v>
      </c>
      <c r="K44">
        <f>J44/1000000</f>
        <v>-326.19177479881483</v>
      </c>
      <c r="L44">
        <f>K44*1.10231131</f>
        <v>-359.56488258970654</v>
      </c>
      <c r="M44">
        <f>K44*2204.62262</f>
        <v>-719129.76517941314</v>
      </c>
    </row>
    <row r="45" spans="1:22">
      <c r="H45" s="1" t="s">
        <v>3</v>
      </c>
      <c r="I45">
        <f>B44</f>
        <v>-161817528.92093205</v>
      </c>
      <c r="J45">
        <f>I45*B6</f>
        <v>-2588918645.2059922</v>
      </c>
      <c r="K45">
        <f>J45/1000000</f>
        <v>-2588.9186452059921</v>
      </c>
      <c r="L45">
        <f>K45*1.10231131</f>
        <v>-2853.7943032804424</v>
      </c>
      <c r="M45">
        <f>K45*2204.62262</f>
        <v>-5707588.606560885</v>
      </c>
    </row>
    <row r="46" spans="1:22">
      <c r="H46" s="1" t="s">
        <v>14</v>
      </c>
      <c r="I46">
        <f>SUM(I44:I45)</f>
        <v>-485452586.76279616</v>
      </c>
      <c r="J46">
        <f>SUM(J44:J45)</f>
        <v>-2915110420.004807</v>
      </c>
      <c r="K46">
        <f>SUM(K44:K45)</f>
        <v>-2915.1104200048071</v>
      </c>
      <c r="L46">
        <f>SUM(L44:L45)</f>
        <v>-3213.3591858701488</v>
      </c>
      <c r="M46">
        <f>SUM(M44:M45)</f>
        <v>-6426718.3717402983</v>
      </c>
    </row>
    <row r="49" spans="1:19" ht="63">
      <c r="A49" s="34" t="s">
        <v>64</v>
      </c>
      <c r="B49" s="3" t="s">
        <v>15</v>
      </c>
      <c r="C49" s="3" t="s">
        <v>20</v>
      </c>
      <c r="D49" s="3" t="s">
        <v>12</v>
      </c>
      <c r="E49" s="3" t="s">
        <v>19</v>
      </c>
      <c r="F49" s="3" t="s">
        <v>21</v>
      </c>
      <c r="H49" s="34" t="s">
        <v>65</v>
      </c>
      <c r="I49" s="3" t="s">
        <v>15</v>
      </c>
      <c r="J49" s="3" t="s">
        <v>20</v>
      </c>
      <c r="K49" s="3" t="s">
        <v>12</v>
      </c>
      <c r="L49" s="3" t="s">
        <v>19</v>
      </c>
      <c r="M49" s="3" t="s">
        <v>21</v>
      </c>
    </row>
    <row r="50" spans="1:19">
      <c r="A50" s="1" t="s">
        <v>61</v>
      </c>
      <c r="B50">
        <f>((0.5*B32)+(B33)+(0.5*B37)+(0.5*B39))-(0.5*I25)-(0.5*B44)</f>
        <v>110065220.28526992</v>
      </c>
      <c r="C50">
        <f>B50*(B6*2)</f>
        <v>3521866918.688067</v>
      </c>
      <c r="D50">
        <f>C50/1000000</f>
        <v>3521.866918688067</v>
      </c>
      <c r="E50">
        <f>D50*1.10231131</f>
        <v>3882.1937367847063</v>
      </c>
      <c r="F50">
        <f>D50*2204.62262</f>
        <v>7764387.4735694136</v>
      </c>
      <c r="H50" s="1" t="s">
        <v>3</v>
      </c>
      <c r="I50">
        <f>(2*B50)</f>
        <v>220130440.57053983</v>
      </c>
      <c r="J50">
        <f>I50*B6</f>
        <v>3521866918.688067</v>
      </c>
      <c r="K50">
        <f>J50/1000000</f>
        <v>3521.866918688067</v>
      </c>
      <c r="L50">
        <f>K50*1.10231131</f>
        <v>3882.1937367847063</v>
      </c>
      <c r="M50">
        <f>K50*2204.62262</f>
        <v>7764387.4735694136</v>
      </c>
    </row>
    <row r="51" spans="1:19">
      <c r="A51" s="1" t="s">
        <v>53</v>
      </c>
      <c r="B51">
        <f>(0.95*C51/(2*B6))+(0.05*C51/(2*B7))</f>
        <v>116681962.51319367</v>
      </c>
      <c r="C51">
        <f>C50*(1/0.95)</f>
        <v>3707228335.461123</v>
      </c>
      <c r="D51">
        <f>D50*(1/0.95)</f>
        <v>3707.2283354611232</v>
      </c>
      <c r="E51">
        <f>E50*(1/0.95)</f>
        <v>4086.5197229312694</v>
      </c>
      <c r="F51">
        <f>F50*(1/0.95)</f>
        <v>8173039.44586254</v>
      </c>
      <c r="H51" s="1" t="s">
        <v>4</v>
      </c>
      <c r="I51">
        <f>(2*B52)</f>
        <v>13233484.455847502</v>
      </c>
      <c r="J51">
        <f>I51*B7</f>
        <v>185361416.77305594</v>
      </c>
      <c r="K51">
        <f t="shared" ref="K51" si="27">J51/1000000</f>
        <v>185.36141677305594</v>
      </c>
      <c r="L51">
        <f>K51*1.10231131</f>
        <v>204.32598614656325</v>
      </c>
      <c r="M51">
        <f>K51*2204.62262</f>
        <v>408651.97229312651</v>
      </c>
    </row>
    <row r="52" spans="1:19">
      <c r="A52" s="1" t="s">
        <v>11</v>
      </c>
      <c r="B52">
        <f>B51-B50</f>
        <v>6616742.2279237509</v>
      </c>
      <c r="C52">
        <f>C51-C50</f>
        <v>185361416.77305603</v>
      </c>
      <c r="D52">
        <f>D51-D50</f>
        <v>185.36141677305613</v>
      </c>
      <c r="E52">
        <f>E51-E50</f>
        <v>204.32598614656308</v>
      </c>
      <c r="F52">
        <f>F51-F50</f>
        <v>408651.9722931264</v>
      </c>
      <c r="H52" s="1" t="s">
        <v>14</v>
      </c>
      <c r="I52">
        <f>SUM(I50:I51)</f>
        <v>233363925.02638733</v>
      </c>
      <c r="J52">
        <f>SUM(J50:J51)</f>
        <v>3707228335.461123</v>
      </c>
      <c r="K52">
        <f>SUM(K50:K51)</f>
        <v>3707.2283354611232</v>
      </c>
      <c r="L52">
        <f>SUM(L50:L51)</f>
        <v>4086.5197229312694</v>
      </c>
      <c r="M52">
        <f>SUM(M50:M51)</f>
        <v>8173039.44586254</v>
      </c>
    </row>
    <row r="54" spans="1:19" ht="30">
      <c r="A54" s="38" t="s">
        <v>70</v>
      </c>
      <c r="B54" s="3"/>
      <c r="C54" s="3"/>
      <c r="D54" s="3"/>
      <c r="E54" s="3"/>
      <c r="F54" s="3"/>
      <c r="H54" s="30"/>
    </row>
    <row r="55" spans="1:19" ht="30">
      <c r="A55" s="38" t="s">
        <v>51</v>
      </c>
      <c r="B55" s="1" t="s">
        <v>50</v>
      </c>
      <c r="C55" s="1" t="s">
        <v>52</v>
      </c>
      <c r="D55" s="1" t="s">
        <v>53</v>
      </c>
      <c r="E55" s="1" t="s">
        <v>56</v>
      </c>
      <c r="F55" s="1" t="s">
        <v>55</v>
      </c>
      <c r="G55" s="1" t="s">
        <v>54</v>
      </c>
    </row>
    <row r="56" spans="1:19">
      <c r="A56" t="s">
        <v>71</v>
      </c>
      <c r="B56" s="32">
        <f>L28</f>
        <v>11054.392684993778</v>
      </c>
      <c r="C56" s="32">
        <f>E44</f>
        <v>-3213.3591858701488</v>
      </c>
      <c r="D56" s="32">
        <f>E51</f>
        <v>4086.5197229312694</v>
      </c>
      <c r="E56" s="32">
        <f>SUM(B56:D56)</f>
        <v>11927.553222054898</v>
      </c>
      <c r="F56" s="32">
        <f>E40</f>
        <v>2878.512558731054</v>
      </c>
      <c r="G56" s="32">
        <f>L19</f>
        <v>3306.9339288976871</v>
      </c>
      <c r="H56" t="s">
        <v>74</v>
      </c>
    </row>
    <row r="57" spans="1:19">
      <c r="A57" s="16" t="s">
        <v>0</v>
      </c>
      <c r="B57" s="30">
        <f>$B$56*Y16</f>
        <v>9208.309106599816</v>
      </c>
      <c r="C57" s="30">
        <f>$C$56*AE16</f>
        <v>0</v>
      </c>
      <c r="D57" s="30">
        <f>$D$56*AE16</f>
        <v>0</v>
      </c>
      <c r="E57" s="44">
        <f>SUM(B57:D57)</f>
        <v>9208.309106599816</v>
      </c>
      <c r="F57" s="44">
        <f>$F$56*V32</f>
        <v>0</v>
      </c>
      <c r="G57" s="30">
        <f>$G$56*R16</f>
        <v>1153.2771132669179</v>
      </c>
    </row>
    <row r="58" spans="1:19">
      <c r="A58" s="16" t="s">
        <v>2</v>
      </c>
      <c r="B58" s="30">
        <f t="shared" ref="B58:B61" si="28">$B$56*Y17</f>
        <v>442.1757073997511</v>
      </c>
      <c r="C58" s="30">
        <f t="shared" ref="C58:C61" si="29">$C$56*AE17</f>
        <v>-359.56488258970654</v>
      </c>
      <c r="D58" s="30">
        <f t="shared" ref="D58:D61" si="30">$D$56*AE17</f>
        <v>457.26882660284053</v>
      </c>
      <c r="E58" s="30">
        <f t="shared" ref="E58:E61" si="31">SUM(B58:D58)</f>
        <v>539.8796514128851</v>
      </c>
      <c r="F58" s="30">
        <f>$F$56*V33</f>
        <v>0</v>
      </c>
      <c r="G58" s="30">
        <f t="shared" ref="G58:G61" si="32">$G$56*R17</f>
        <v>419.02981509514495</v>
      </c>
    </row>
    <row r="59" spans="1:19">
      <c r="A59" s="16" t="s">
        <v>3</v>
      </c>
      <c r="B59" s="30">
        <f t="shared" si="28"/>
        <v>490.81503521372377</v>
      </c>
      <c r="C59" s="30">
        <f t="shared" si="29"/>
        <v>-2853.7943032804424</v>
      </c>
      <c r="D59" s="30">
        <f t="shared" si="30"/>
        <v>3629.2508963284286</v>
      </c>
      <c r="E59" s="30">
        <f t="shared" si="31"/>
        <v>1266.2716282617098</v>
      </c>
      <c r="F59" s="30">
        <f>$F$56*V34</f>
        <v>0</v>
      </c>
      <c r="G59" s="30">
        <f t="shared" si="32"/>
        <v>1697.1614014498373</v>
      </c>
    </row>
    <row r="60" spans="1:19">
      <c r="A60" s="16" t="s">
        <v>4</v>
      </c>
      <c r="B60" s="30">
        <f t="shared" si="28"/>
        <v>234.3531249218681</v>
      </c>
      <c r="C60" s="30">
        <f t="shared" si="29"/>
        <v>0</v>
      </c>
      <c r="D60" s="30">
        <f>$D$56*AE19</f>
        <v>0</v>
      </c>
      <c r="E60" s="30">
        <f t="shared" si="31"/>
        <v>234.3531249218681</v>
      </c>
      <c r="F60" s="30">
        <f>$F$56*V35</f>
        <v>0</v>
      </c>
      <c r="G60" s="30">
        <f t="shared" si="32"/>
        <v>37.465599085786202</v>
      </c>
      <c r="R60" s="4"/>
      <c r="S60" s="4"/>
    </row>
    <row r="61" spans="1:19">
      <c r="A61" s="16" t="s">
        <v>5</v>
      </c>
      <c r="B61" s="30">
        <f t="shared" si="28"/>
        <v>678.73971085861797</v>
      </c>
      <c r="C61" s="30">
        <f t="shared" si="29"/>
        <v>0</v>
      </c>
      <c r="D61" s="30">
        <f t="shared" si="30"/>
        <v>0</v>
      </c>
      <c r="E61" s="30">
        <f t="shared" si="31"/>
        <v>678.73971085861797</v>
      </c>
      <c r="F61" s="30">
        <f>$F$56*V36</f>
        <v>0</v>
      </c>
      <c r="G61" s="30">
        <f t="shared" si="32"/>
        <v>0</v>
      </c>
      <c r="R61" s="4"/>
      <c r="S61" s="4"/>
    </row>
    <row r="62" spans="1:19" ht="61.5">
      <c r="A62" s="17"/>
      <c r="B62" s="30"/>
      <c r="C62" s="30"/>
      <c r="E62" s="63" t="s">
        <v>120</v>
      </c>
      <c r="F62" s="30"/>
      <c r="R62" s="4"/>
      <c r="S62" s="4"/>
    </row>
    <row r="63" spans="1:19">
      <c r="B63" s="30"/>
      <c r="C63" s="30"/>
      <c r="E63" s="30"/>
      <c r="R63" s="4"/>
      <c r="S63" s="4"/>
    </row>
    <row r="64" spans="1:19">
      <c r="E64" s="45" t="s">
        <v>75</v>
      </c>
      <c r="F64" s="45"/>
      <c r="G64" s="45"/>
      <c r="H64" s="45"/>
      <c r="I64" s="45"/>
      <c r="J64" s="45"/>
      <c r="R64" s="4"/>
      <c r="S64" s="4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P114"/>
  <sheetViews>
    <sheetView tabSelected="1" zoomScale="76" zoomScaleNormal="76" workbookViewId="0">
      <selection activeCell="J7" sqref="J7"/>
    </sheetView>
  </sheetViews>
  <sheetFormatPr defaultRowHeight="15"/>
  <cols>
    <col min="1" max="1" width="12.42578125" customWidth="1"/>
    <col min="2" max="2" width="13.140625" customWidth="1"/>
    <col min="3" max="3" width="14.28515625" customWidth="1"/>
    <col min="4" max="4" width="12.140625" bestFit="1" customWidth="1"/>
    <col min="5" max="5" width="9.28515625" bestFit="1" customWidth="1"/>
    <col min="6" max="6" width="11" customWidth="1"/>
    <col min="7" max="7" width="11.42578125" customWidth="1"/>
    <col min="8" max="8" width="13.28515625" customWidth="1"/>
    <col min="9" max="9" width="14" customWidth="1"/>
    <col min="10" max="10" width="15.28515625" customWidth="1"/>
    <col min="11" max="11" width="10.85546875" customWidth="1"/>
    <col min="12" max="12" width="10.42578125" customWidth="1"/>
    <col min="13" max="13" width="10.5703125" customWidth="1"/>
    <col min="16" max="16" width="14.28515625" customWidth="1"/>
    <col min="17" max="17" width="13.85546875" customWidth="1"/>
    <col min="18" max="18" width="14" bestFit="1" customWidth="1"/>
    <col min="19" max="19" width="10.28515625" customWidth="1"/>
    <col min="20" max="20" width="11.5703125" customWidth="1"/>
    <col min="21" max="21" width="13.140625" bestFit="1" customWidth="1"/>
    <col min="24" max="25" width="11.140625" bestFit="1" customWidth="1"/>
    <col min="27" max="27" width="10" bestFit="1" customWidth="1"/>
    <col min="31" max="31" width="10" bestFit="1" customWidth="1"/>
    <col min="32" max="32" width="12.28515625" bestFit="1" customWidth="1"/>
    <col min="35" max="35" width="11.140625" bestFit="1" customWidth="1"/>
    <col min="38" max="38" width="10.85546875" customWidth="1"/>
    <col min="39" max="39" width="12.5703125" customWidth="1"/>
  </cols>
  <sheetData>
    <row r="1" spans="1:34" ht="15.75">
      <c r="Q1" s="9" t="s">
        <v>27</v>
      </c>
      <c r="R1" s="9"/>
    </row>
    <row r="2" spans="1:34" ht="45">
      <c r="A2" s="10" t="s">
        <v>1</v>
      </c>
      <c r="B2" s="26"/>
      <c r="C2" s="26"/>
      <c r="D2" s="26" t="s">
        <v>6</v>
      </c>
      <c r="E2" s="19"/>
      <c r="P2" s="4"/>
      <c r="Q2" s="20" t="s">
        <v>155</v>
      </c>
      <c r="R2" s="24"/>
      <c r="S2" s="4"/>
      <c r="T2" s="4"/>
      <c r="U2" s="20" t="s">
        <v>29</v>
      </c>
      <c r="V2" s="22"/>
      <c r="X2" s="8" t="s">
        <v>69</v>
      </c>
      <c r="Y2" s="8"/>
      <c r="AB2" s="61" t="s">
        <v>101</v>
      </c>
    </row>
    <row r="3" spans="1:34">
      <c r="A3" s="11" t="s">
        <v>0</v>
      </c>
      <c r="B3" s="4">
        <v>12.010999999999999</v>
      </c>
      <c r="C3" s="4">
        <v>12.010999999999999</v>
      </c>
      <c r="D3" s="4" t="s">
        <v>7</v>
      </c>
      <c r="E3" s="13">
        <v>28.009999999999998</v>
      </c>
      <c r="H3" s="16"/>
      <c r="P3" s="4" t="s">
        <v>30</v>
      </c>
      <c r="Q3" s="12" t="s">
        <v>28</v>
      </c>
      <c r="R3" s="16" t="s">
        <v>25</v>
      </c>
      <c r="S3" s="4"/>
      <c r="T3" s="4" t="s">
        <v>31</v>
      </c>
      <c r="U3" s="12" t="s">
        <v>28</v>
      </c>
      <c r="V3" s="23" t="s">
        <v>25</v>
      </c>
      <c r="Y3" s="1" t="s">
        <v>28</v>
      </c>
      <c r="Z3" s="1" t="s">
        <v>25</v>
      </c>
      <c r="AB3" s="1" t="s">
        <v>28</v>
      </c>
      <c r="AC3" s="1" t="s">
        <v>25</v>
      </c>
    </row>
    <row r="4" spans="1:34">
      <c r="A4" s="11" t="s">
        <v>2</v>
      </c>
      <c r="B4" s="4">
        <v>1.0079</v>
      </c>
      <c r="C4" s="4">
        <v>1.0079</v>
      </c>
      <c r="D4" s="4" t="s">
        <v>8</v>
      </c>
      <c r="E4" s="13">
        <v>44.009</v>
      </c>
      <c r="H4" s="16"/>
      <c r="K4" s="16"/>
      <c r="L4" s="31"/>
      <c r="P4" s="16" t="s">
        <v>7</v>
      </c>
      <c r="Q4" s="35">
        <v>0.27860000000000001</v>
      </c>
      <c r="R4" s="35">
        <v>0.71725499868696041</v>
      </c>
      <c r="S4" s="4"/>
      <c r="T4" s="16" t="s">
        <v>7</v>
      </c>
      <c r="U4" s="37">
        <v>0.61973643781531695</v>
      </c>
      <c r="V4" s="37">
        <v>0.82400713647572088</v>
      </c>
      <c r="X4" s="1" t="s">
        <v>61</v>
      </c>
      <c r="Y4">
        <v>0.94329250138233178</v>
      </c>
      <c r="Z4">
        <v>0.95</v>
      </c>
      <c r="AB4">
        <f>B70/$B$78</f>
        <v>0.19724381293246523</v>
      </c>
      <c r="AC4">
        <f>D45/$D$53</f>
        <v>0.8967072565803017</v>
      </c>
    </row>
    <row r="5" spans="1:34">
      <c r="A5" s="11" t="s">
        <v>3</v>
      </c>
      <c r="B5" s="4">
        <v>15.999000000000001</v>
      </c>
      <c r="C5" s="4">
        <v>15.999000000000001</v>
      </c>
      <c r="D5" s="4" t="s">
        <v>9</v>
      </c>
      <c r="E5" s="13">
        <v>16.0426</v>
      </c>
      <c r="H5" s="16"/>
      <c r="K5" s="16"/>
      <c r="L5" s="31"/>
      <c r="P5" s="16" t="s">
        <v>8</v>
      </c>
      <c r="Q5" s="35">
        <v>3.5200000000000002E-2</v>
      </c>
      <c r="R5" s="35">
        <v>0.14238476622798141</v>
      </c>
      <c r="S5" s="4"/>
      <c r="T5" s="16" t="s">
        <v>8</v>
      </c>
      <c r="U5" s="37">
        <v>2.1472586141772911E-2</v>
      </c>
      <c r="V5" s="37">
        <v>4.4857667419180992E-2</v>
      </c>
      <c r="X5" s="1" t="s">
        <v>11</v>
      </c>
      <c r="Y5">
        <v>5.6707498617668273E-2</v>
      </c>
      <c r="Z5">
        <v>4.9999999999999996E-2</v>
      </c>
      <c r="AB5">
        <f t="shared" ref="AB5:AB11" si="0">B71/$B$78</f>
        <v>0.28309211377769611</v>
      </c>
      <c r="AC5">
        <f t="shared" ref="AC5:AC11" si="1">D46/$D$53</f>
        <v>4.8815348930209852E-3</v>
      </c>
    </row>
    <row r="6" spans="1:34">
      <c r="A6" s="11" t="s">
        <v>4</v>
      </c>
      <c r="B6" s="4">
        <v>14.007</v>
      </c>
      <c r="C6" s="4">
        <v>14.007</v>
      </c>
      <c r="D6" s="4" t="s">
        <v>10</v>
      </c>
      <c r="E6" s="13">
        <v>2.0158</v>
      </c>
      <c r="H6" s="16"/>
      <c r="K6" s="16"/>
      <c r="L6" s="31"/>
      <c r="P6" s="16" t="s">
        <v>9</v>
      </c>
      <c r="Q6" s="35">
        <v>2.0999999999999999E-3</v>
      </c>
      <c r="R6" s="35">
        <v>3.0965165999406433E-3</v>
      </c>
      <c r="S6" s="4"/>
      <c r="T6" s="16" t="s">
        <v>9</v>
      </c>
      <c r="U6" s="37">
        <v>8.9056808882929104E-4</v>
      </c>
      <c r="V6" s="37">
        <v>6.7819208513911807E-4</v>
      </c>
      <c r="X6" s="1"/>
      <c r="AB6">
        <f t="shared" si="0"/>
        <v>6.8786470959496086E-4</v>
      </c>
      <c r="AC6">
        <f t="shared" si="1"/>
        <v>7.3802730240976687E-4</v>
      </c>
    </row>
    <row r="7" spans="1:34">
      <c r="A7" s="11" t="s">
        <v>5</v>
      </c>
      <c r="B7" s="4">
        <v>32.066000000000003</v>
      </c>
      <c r="C7" s="4">
        <v>32.066000000000003</v>
      </c>
      <c r="D7" s="4" t="s">
        <v>11</v>
      </c>
      <c r="E7" s="13">
        <v>28.013999999999999</v>
      </c>
      <c r="H7" s="16"/>
      <c r="K7" s="16"/>
      <c r="L7" s="31"/>
      <c r="P7" s="16" t="s">
        <v>10</v>
      </c>
      <c r="Q7" s="35">
        <v>0.67969999999999997</v>
      </c>
      <c r="R7" s="35">
        <v>0.12593431188331272</v>
      </c>
      <c r="S7" s="4"/>
      <c r="T7" s="16" t="s">
        <v>10</v>
      </c>
      <c r="U7" s="37">
        <v>0.25866055379997416</v>
      </c>
      <c r="V7" s="37">
        <v>2.4750756444674789E-2</v>
      </c>
      <c r="AB7">
        <f t="shared" si="0"/>
        <v>0.48122007896469804</v>
      </c>
      <c r="AC7">
        <f t="shared" si="1"/>
        <v>2.6934454724161838E-2</v>
      </c>
    </row>
    <row r="8" spans="1:34">
      <c r="A8" s="11"/>
      <c r="B8" s="4"/>
      <c r="C8" s="4"/>
      <c r="D8" s="4" t="s">
        <v>22</v>
      </c>
      <c r="E8" s="13">
        <v>18.014800000000001</v>
      </c>
      <c r="H8" s="16"/>
      <c r="K8" s="16"/>
      <c r="L8" s="31"/>
      <c r="P8" s="16" t="s">
        <v>11</v>
      </c>
      <c r="Q8" s="35">
        <v>4.4000000000000003E-3</v>
      </c>
      <c r="R8" s="35">
        <v>1.1329406601804945E-2</v>
      </c>
      <c r="S8" s="4"/>
      <c r="T8" s="16" t="s">
        <v>11</v>
      </c>
      <c r="U8" s="37">
        <v>4.8882292875741092E-2</v>
      </c>
      <c r="V8" s="37">
        <v>6.5003617438743666E-2</v>
      </c>
      <c r="AB8">
        <f t="shared" si="0"/>
        <v>3.7756129615545628E-2</v>
      </c>
      <c r="AC8">
        <f t="shared" si="1"/>
        <v>7.0738726500105709E-2</v>
      </c>
    </row>
    <row r="9" spans="1:34">
      <c r="A9" s="11"/>
      <c r="B9" s="4"/>
      <c r="C9" s="4"/>
      <c r="D9" s="4" t="s">
        <v>23</v>
      </c>
      <c r="E9" s="13">
        <v>34.081800000000001</v>
      </c>
      <c r="H9" s="82"/>
      <c r="I9" s="30"/>
      <c r="J9" s="46"/>
      <c r="K9" s="86"/>
      <c r="L9" s="31"/>
      <c r="P9" s="16" t="s">
        <v>22</v>
      </c>
      <c r="Q9" s="36">
        <v>0</v>
      </c>
      <c r="R9" s="35">
        <v>0</v>
      </c>
      <c r="S9" s="4"/>
      <c r="T9" s="16" t="s">
        <v>22</v>
      </c>
      <c r="U9" s="37">
        <v>3.1862547178114639E-2</v>
      </c>
      <c r="V9" s="37">
        <v>2.7247130332623198E-2</v>
      </c>
      <c r="AB9">
        <f t="shared" si="0"/>
        <v>0</v>
      </c>
      <c r="AC9">
        <f t="shared" si="1"/>
        <v>0</v>
      </c>
    </row>
    <row r="10" spans="1:34">
      <c r="A10" s="27"/>
      <c r="B10" s="15"/>
      <c r="C10" s="15"/>
      <c r="D10" s="15" t="s">
        <v>24</v>
      </c>
      <c r="E10" s="14">
        <v>60.076000000000001</v>
      </c>
      <c r="H10" s="16"/>
      <c r="I10" s="30"/>
      <c r="J10" s="30"/>
      <c r="K10" s="30"/>
      <c r="L10" s="30"/>
      <c r="P10" s="16" t="s">
        <v>23</v>
      </c>
      <c r="Q10" s="36">
        <v>0</v>
      </c>
      <c r="R10" s="35">
        <v>0</v>
      </c>
      <c r="S10" s="4"/>
      <c r="T10" s="16" t="s">
        <v>23</v>
      </c>
      <c r="U10" s="37">
        <v>1.7581674818938343E-2</v>
      </c>
      <c r="V10" s="37">
        <v>1.2326753210976251E-2</v>
      </c>
      <c r="AB10">
        <f t="shared" si="0"/>
        <v>0</v>
      </c>
      <c r="AC10">
        <f t="shared" si="1"/>
        <v>0</v>
      </c>
    </row>
    <row r="11" spans="1:34">
      <c r="G11" s="43"/>
      <c r="H11" s="17"/>
      <c r="L11" s="31"/>
      <c r="P11" s="16" t="s">
        <v>24</v>
      </c>
      <c r="Q11" s="36">
        <v>0</v>
      </c>
      <c r="R11" s="35">
        <v>0</v>
      </c>
      <c r="S11" s="4"/>
      <c r="T11" s="16" t="s">
        <v>24</v>
      </c>
      <c r="U11" s="37">
        <v>9.1333928131269622E-4</v>
      </c>
      <c r="V11" s="37">
        <v>1.128746592941229E-3</v>
      </c>
      <c r="AB11">
        <f t="shared" si="0"/>
        <v>0</v>
      </c>
      <c r="AC11">
        <f t="shared" si="1"/>
        <v>0</v>
      </c>
    </row>
    <row r="12" spans="1:34">
      <c r="A12" t="s">
        <v>58</v>
      </c>
      <c r="B12" s="39">
        <v>2800</v>
      </c>
      <c r="C12" s="29" t="s">
        <v>59</v>
      </c>
      <c r="D12" s="29"/>
      <c r="L12" s="31"/>
      <c r="P12" s="17" t="s">
        <v>14</v>
      </c>
      <c r="Q12" s="37">
        <v>1</v>
      </c>
      <c r="R12" s="36">
        <v>1.0000000000000002</v>
      </c>
      <c r="S12" s="4"/>
      <c r="T12" s="17" t="s">
        <v>14</v>
      </c>
      <c r="U12" s="37">
        <v>1.0000000000000002</v>
      </c>
      <c r="V12" s="37">
        <v>1</v>
      </c>
      <c r="AA12" s="17" t="s">
        <v>14</v>
      </c>
      <c r="AB12">
        <f>SUM(AB4:AB11)</f>
        <v>1</v>
      </c>
      <c r="AC12">
        <f>SUM(AC4:AC11)</f>
        <v>1</v>
      </c>
    </row>
    <row r="13" spans="1:34" ht="15.75">
      <c r="Q13" s="21" t="s">
        <v>33</v>
      </c>
      <c r="R13" s="9"/>
    </row>
    <row r="14" spans="1:34" ht="47.25">
      <c r="A14" s="55" t="s">
        <v>37</v>
      </c>
      <c r="B14" s="3" t="s">
        <v>15</v>
      </c>
      <c r="C14" s="3" t="s">
        <v>36</v>
      </c>
      <c r="D14" s="3" t="s">
        <v>12</v>
      </c>
      <c r="E14" s="3" t="s">
        <v>19</v>
      </c>
      <c r="F14" s="3" t="s">
        <v>21</v>
      </c>
      <c r="Q14" s="20" t="s">
        <v>155</v>
      </c>
      <c r="U14" s="20" t="s">
        <v>29</v>
      </c>
      <c r="X14" s="8" t="s">
        <v>32</v>
      </c>
      <c r="Y14" t="s">
        <v>38</v>
      </c>
      <c r="AA14" s="8" t="s">
        <v>69</v>
      </c>
      <c r="AB14" s="8"/>
      <c r="AC14" s="8"/>
      <c r="AD14" s="8" t="s">
        <v>52</v>
      </c>
      <c r="AG14" s="61" t="s">
        <v>101</v>
      </c>
    </row>
    <row r="15" spans="1:34">
      <c r="A15" s="1" t="s">
        <v>0</v>
      </c>
      <c r="B15" s="56">
        <f>C15/B3</f>
        <v>194188660.39463827</v>
      </c>
      <c r="C15" s="30">
        <f>D15*1000000</f>
        <v>2332400000</v>
      </c>
      <c r="D15" s="30">
        <f>$B$12*Y16</f>
        <v>2332.4</v>
      </c>
      <c r="E15" s="30">
        <f>D15*1.10231131</f>
        <v>2571.0308994440002</v>
      </c>
      <c r="F15" s="30">
        <f>D15*2204.62262</f>
        <v>5142061.7988880007</v>
      </c>
      <c r="Q15" s="12" t="s">
        <v>28</v>
      </c>
      <c r="R15" s="16" t="s">
        <v>25</v>
      </c>
      <c r="U15" s="12" t="s">
        <v>28</v>
      </c>
      <c r="V15" s="16" t="s">
        <v>25</v>
      </c>
      <c r="X15" s="12" t="s">
        <v>28</v>
      </c>
      <c r="Y15" s="1" t="s">
        <v>25</v>
      </c>
      <c r="AA15" s="1" t="s">
        <v>28</v>
      </c>
      <c r="AB15" s="1" t="s">
        <v>25</v>
      </c>
      <c r="AC15" s="1"/>
      <c r="AD15" s="1" t="s">
        <v>28</v>
      </c>
      <c r="AE15" s="1" t="s">
        <v>25</v>
      </c>
      <c r="AG15" s="1" t="s">
        <v>28</v>
      </c>
      <c r="AH15" s="1" t="s">
        <v>25</v>
      </c>
    </row>
    <row r="16" spans="1:34">
      <c r="A16" s="1" t="s">
        <v>2</v>
      </c>
      <c r="B16" s="46">
        <f>C16/B4</f>
        <v>111122135.13245362</v>
      </c>
      <c r="C16" s="30">
        <f t="shared" ref="C16:C19" si="2">D16*1000000</f>
        <v>112000000</v>
      </c>
      <c r="D16" s="30">
        <f>$B$12*Y17</f>
        <v>112</v>
      </c>
      <c r="E16" s="30">
        <f t="shared" ref="E16:E20" si="3">D16*1.10231131</f>
        <v>123.45886671999999</v>
      </c>
      <c r="F16" s="30">
        <f t="shared" ref="F16:F20" si="4">D16*2204.62262</f>
        <v>246917.73344000001</v>
      </c>
      <c r="H16" s="30"/>
      <c r="P16" s="16" t="s">
        <v>0</v>
      </c>
      <c r="Q16" s="31">
        <v>0.15473916238060251</v>
      </c>
      <c r="R16" s="31">
        <v>0.34874513312436944</v>
      </c>
      <c r="T16" s="1" t="s">
        <v>0</v>
      </c>
      <c r="U16" s="31">
        <v>0.32629832366807837</v>
      </c>
      <c r="V16" s="31">
        <v>0.38193276583844493</v>
      </c>
      <c r="X16" s="31">
        <v>0.60179836601989978</v>
      </c>
      <c r="Y16" s="31">
        <v>0.83299999999999996</v>
      </c>
      <c r="AA16" s="31">
        <v>0</v>
      </c>
      <c r="AB16" s="31">
        <v>0</v>
      </c>
      <c r="AC16" s="31"/>
      <c r="AD16" s="31">
        <v>0</v>
      </c>
      <c r="AE16" s="31">
        <v>0</v>
      </c>
      <c r="AG16">
        <f>I70/$I$75</f>
        <v>0.21049935011231277</v>
      </c>
      <c r="AH16">
        <f>K70/$K$75</f>
        <v>0.28855884314593094</v>
      </c>
    </row>
    <row r="17" spans="1:34">
      <c r="A17" s="1" t="s">
        <v>3</v>
      </c>
      <c r="B17" s="46">
        <f t="shared" ref="B17:B19" si="5">C17/B5</f>
        <v>7770485.6553534595</v>
      </c>
      <c r="C17" s="30">
        <f t="shared" si="2"/>
        <v>124320000</v>
      </c>
      <c r="D17" s="30">
        <f t="shared" ref="D17:D19" si="6">$B$12*Y18</f>
        <v>124.32000000000001</v>
      </c>
      <c r="E17" s="30">
        <f t="shared" si="3"/>
        <v>137.03934205920001</v>
      </c>
      <c r="F17" s="30">
        <f t="shared" si="4"/>
        <v>274078.68411840004</v>
      </c>
      <c r="P17" s="16" t="s">
        <v>2</v>
      </c>
      <c r="Q17" s="31">
        <v>0.66999755082047507</v>
      </c>
      <c r="R17" s="31">
        <v>0.12671248476827651</v>
      </c>
      <c r="T17" s="1" t="s">
        <v>2</v>
      </c>
      <c r="U17" s="31">
        <v>0.309</v>
      </c>
      <c r="V17" s="31">
        <v>2.9922351842323381E-2</v>
      </c>
      <c r="X17" s="31">
        <v>0.34437190727538242</v>
      </c>
      <c r="Y17" s="31">
        <v>0.04</v>
      </c>
      <c r="AA17" s="31">
        <v>0</v>
      </c>
      <c r="AB17" s="31">
        <v>0</v>
      </c>
      <c r="AC17" s="31"/>
      <c r="AD17" s="31">
        <v>0.66666666666666663</v>
      </c>
      <c r="AE17" s="31">
        <v>0.11189688478362234</v>
      </c>
      <c r="AG17">
        <f t="shared" ref="AG17:AG20" si="7">I71/$I$75</f>
        <v>0.42237455129568613</v>
      </c>
      <c r="AH17">
        <f t="shared" ref="AH17:AH20" si="8">K71/$K$75</f>
        <v>4.8586951454523526E-2</v>
      </c>
    </row>
    <row r="18" spans="1:34">
      <c r="A18" s="1" t="s">
        <v>4</v>
      </c>
      <c r="B18" s="46">
        <f t="shared" si="5"/>
        <v>4237881.0594702652</v>
      </c>
      <c r="C18" s="30">
        <f t="shared" si="2"/>
        <v>59360000</v>
      </c>
      <c r="D18" s="30">
        <f t="shared" si="6"/>
        <v>59.36</v>
      </c>
      <c r="E18" s="30">
        <f t="shared" si="3"/>
        <v>65.433199361599989</v>
      </c>
      <c r="F18" s="30">
        <f t="shared" si="4"/>
        <v>130866.39872320001</v>
      </c>
      <c r="P18" s="16" t="s">
        <v>3</v>
      </c>
      <c r="Q18" s="31">
        <v>0.17095273083517024</v>
      </c>
      <c r="R18" s="31">
        <v>0.5132129755055489</v>
      </c>
      <c r="T18" s="1" t="s">
        <v>3</v>
      </c>
      <c r="U18" s="31">
        <v>0.34860000000000002</v>
      </c>
      <c r="V18" s="31">
        <v>0.55027255763945304</v>
      </c>
      <c r="X18" s="31">
        <v>2.4081043460877073E-2</v>
      </c>
      <c r="Y18" s="31">
        <v>4.4400000000000002E-2</v>
      </c>
      <c r="AA18" s="31">
        <v>0.94329250138233178</v>
      </c>
      <c r="AB18" s="31">
        <v>0.95</v>
      </c>
      <c r="AC18" s="31"/>
      <c r="AD18" s="31">
        <v>0.33333333333333331</v>
      </c>
      <c r="AE18" s="31">
        <v>0.88810311521637764</v>
      </c>
      <c r="AG18">
        <f t="shared" si="7"/>
        <v>0.33408140979034778</v>
      </c>
      <c r="AH18">
        <f t="shared" si="8"/>
        <v>0.6100277760512629</v>
      </c>
    </row>
    <row r="19" spans="1:34">
      <c r="A19" s="1" t="s">
        <v>5</v>
      </c>
      <c r="B19" s="46">
        <f t="shared" si="5"/>
        <v>5361442.0258217426</v>
      </c>
      <c r="C19" s="30">
        <f t="shared" si="2"/>
        <v>171920000</v>
      </c>
      <c r="D19" s="30">
        <f t="shared" si="6"/>
        <v>171.92</v>
      </c>
      <c r="E19" s="30">
        <f t="shared" si="3"/>
        <v>189.50936041519998</v>
      </c>
      <c r="F19" s="30">
        <f t="shared" si="4"/>
        <v>379018.72083040001</v>
      </c>
      <c r="P19" s="16" t="s">
        <v>4</v>
      </c>
      <c r="Q19" s="31">
        <v>4.310555963752143E-3</v>
      </c>
      <c r="R19" s="31">
        <v>1.1329406601804939E-2</v>
      </c>
      <c r="T19" s="1" t="s">
        <v>4</v>
      </c>
      <c r="U19" s="31">
        <v>7.0699999999999999E-3</v>
      </c>
      <c r="V19" s="31">
        <v>9.7202576659964398E-3</v>
      </c>
      <c r="X19" s="31">
        <v>1.3133361607176033E-2</v>
      </c>
      <c r="Y19" s="31">
        <v>2.12E-2</v>
      </c>
      <c r="AA19" s="31">
        <v>5.6707498617668273E-2</v>
      </c>
      <c r="AB19" s="31">
        <v>4.999999999999994E-2</v>
      </c>
      <c r="AC19" s="31"/>
      <c r="AD19" s="31">
        <v>0</v>
      </c>
      <c r="AE19" s="31">
        <v>0</v>
      </c>
      <c r="AG19">
        <f t="shared" si="7"/>
        <v>3.3044688801653233E-2</v>
      </c>
      <c r="AH19">
        <f t="shared" si="8"/>
        <v>5.282642934828255E-2</v>
      </c>
    </row>
    <row r="20" spans="1:34">
      <c r="A20" s="1" t="s">
        <v>14</v>
      </c>
      <c r="B20" s="30">
        <f>SUM(B15:B19)</f>
        <v>322680604.26773733</v>
      </c>
      <c r="C20" s="30">
        <f t="shared" ref="C20:D20" si="9">SUM(C15:C19)</f>
        <v>2800000000</v>
      </c>
      <c r="D20" s="30">
        <f t="shared" si="9"/>
        <v>2800.0000000000005</v>
      </c>
      <c r="E20" s="30">
        <f t="shared" si="3"/>
        <v>3086.4716680000001</v>
      </c>
      <c r="F20" s="30">
        <f t="shared" si="4"/>
        <v>6172943.3360000011</v>
      </c>
      <c r="P20" s="16" t="s">
        <v>5</v>
      </c>
      <c r="Q20" s="31">
        <v>0</v>
      </c>
      <c r="R20" s="31">
        <v>0</v>
      </c>
      <c r="T20" s="1" t="s">
        <v>5</v>
      </c>
      <c r="U20" s="31">
        <v>9.0089171114006213E-3</v>
      </c>
      <c r="V20" s="31">
        <v>2.8152067013782135E-2</v>
      </c>
      <c r="X20" s="31">
        <v>1.6615321636664591E-2</v>
      </c>
      <c r="Y20" s="31">
        <v>6.1399999999999996E-2</v>
      </c>
      <c r="AA20" s="31">
        <v>0</v>
      </c>
      <c r="AB20" s="31">
        <v>0</v>
      </c>
      <c r="AC20" s="31"/>
      <c r="AD20" s="31">
        <v>0</v>
      </c>
      <c r="AE20" s="31">
        <v>0</v>
      </c>
      <c r="AG20">
        <f t="shared" si="7"/>
        <v>0</v>
      </c>
      <c r="AH20">
        <f t="shared" si="8"/>
        <v>0</v>
      </c>
    </row>
    <row r="21" spans="1:34">
      <c r="P21" s="17" t="s">
        <v>14</v>
      </c>
      <c r="Q21" s="31">
        <v>1</v>
      </c>
      <c r="R21" s="31">
        <v>1</v>
      </c>
      <c r="S21" s="31"/>
      <c r="T21" s="58" t="s">
        <v>14</v>
      </c>
      <c r="U21" s="31">
        <f>SUM(U16:U20)</f>
        <v>0.99997724077947903</v>
      </c>
      <c r="V21" s="31">
        <v>1</v>
      </c>
      <c r="W21" s="31"/>
      <c r="X21" s="31">
        <v>0.99999999999999978</v>
      </c>
      <c r="Y21" s="31">
        <v>1</v>
      </c>
      <c r="Z21" s="31"/>
      <c r="AA21" s="31">
        <v>1</v>
      </c>
      <c r="AB21" s="31">
        <v>0.99999999999999989</v>
      </c>
      <c r="AC21" s="31"/>
      <c r="AD21" s="31"/>
      <c r="AE21" s="31"/>
      <c r="AG21">
        <f>SUM(AG16:AG20)</f>
        <v>0.99999999999999989</v>
      </c>
      <c r="AH21">
        <f>SUM(AH16:AH20)</f>
        <v>0.99999999999999989</v>
      </c>
    </row>
    <row r="22" spans="1:34">
      <c r="A22" s="78" t="s">
        <v>111</v>
      </c>
    </row>
    <row r="23" spans="1:34" ht="47.25">
      <c r="A23" s="55" t="s">
        <v>40</v>
      </c>
      <c r="B23" s="3" t="s">
        <v>57</v>
      </c>
      <c r="C23" s="3" t="s">
        <v>20</v>
      </c>
      <c r="D23" s="3" t="s">
        <v>12</v>
      </c>
      <c r="E23" s="3" t="s">
        <v>19</v>
      </c>
      <c r="F23" s="3" t="s">
        <v>21</v>
      </c>
      <c r="H23" s="55" t="s">
        <v>60</v>
      </c>
      <c r="I23" s="3" t="s">
        <v>57</v>
      </c>
      <c r="J23" s="3" t="s">
        <v>20</v>
      </c>
      <c r="K23" s="3" t="s">
        <v>12</v>
      </c>
      <c r="L23" s="3" t="s">
        <v>19</v>
      </c>
      <c r="M23" s="3" t="s">
        <v>21</v>
      </c>
    </row>
    <row r="24" spans="1:34">
      <c r="A24" s="1" t="s">
        <v>7</v>
      </c>
      <c r="B24" s="46">
        <f>C24/E3</f>
        <v>182533326.22925198</v>
      </c>
      <c r="C24" s="30">
        <f>$J$29*V4</f>
        <v>5112758467.6813478</v>
      </c>
      <c r="D24" s="30">
        <f>C24/1000000</f>
        <v>5112.7584676813476</v>
      </c>
      <c r="E24" s="30">
        <f>D24*1.10231131</f>
        <v>5635.851484223419</v>
      </c>
      <c r="F24" s="30">
        <f>D24*2204.62262</f>
        <v>11271702.968446838</v>
      </c>
      <c r="H24" s="1" t="s">
        <v>0</v>
      </c>
      <c r="I24" s="56">
        <f>B15</f>
        <v>194188660.39463827</v>
      </c>
      <c r="J24" s="30">
        <f>I24*B3</f>
        <v>2332400000</v>
      </c>
      <c r="K24" s="30">
        <f>J24/1000000</f>
        <v>2332.4</v>
      </c>
      <c r="L24" s="30">
        <f>K24*1.10231131</f>
        <v>2571.0308994440002</v>
      </c>
      <c r="M24" s="30">
        <f>L24*2204.62262</f>
        <v>5668152.8776331889</v>
      </c>
    </row>
    <row r="25" spans="1:34">
      <c r="A25" s="1" t="s">
        <v>8</v>
      </c>
      <c r="B25" s="46">
        <f t="shared" ref="B25:B29" si="10">C25/E4</f>
        <v>6324402.3298335727</v>
      </c>
      <c r="C25" s="30">
        <f t="shared" ref="C25:C31" si="11">$J$29*V5</f>
        <v>278330622.13364571</v>
      </c>
      <c r="D25" s="30">
        <f t="shared" ref="D25:D31" si="12">C25/1000000</f>
        <v>278.3306221336457</v>
      </c>
      <c r="E25" s="30">
        <f t="shared" ref="E25:E31" si="13">D25*1.10231131</f>
        <v>306.80699269725397</v>
      </c>
      <c r="F25" s="30">
        <f t="shared" ref="F25:F31" si="14">D25*2204.62262</f>
        <v>613613.985394508</v>
      </c>
      <c r="H25" s="1" t="s">
        <v>2</v>
      </c>
      <c r="I25" s="30">
        <f>$I$24*(U17/$U$16)</f>
        <v>183893975.87890035</v>
      </c>
      <c r="J25" s="30">
        <f>I25*B4</f>
        <v>185346738.28834367</v>
      </c>
      <c r="K25" s="30">
        <f t="shared" ref="K25:K28" si="15">J25/1000000</f>
        <v>185.34673828834366</v>
      </c>
      <c r="L25" s="30">
        <f t="shared" ref="L25:L28" si="16">K25*1.10231131</f>
        <v>204.30980588685125</v>
      </c>
      <c r="M25" s="30">
        <f t="shared" ref="M25:M28" si="17">L25*2204.62262</f>
        <v>450426.01954596146</v>
      </c>
    </row>
    <row r="26" spans="1:34">
      <c r="A26" s="1" t="s">
        <v>9</v>
      </c>
      <c r="B26" s="46">
        <f t="shared" si="10"/>
        <v>262302.40077650762</v>
      </c>
      <c r="C26" s="30">
        <f t="shared" si="11"/>
        <v>4208012.4946972011</v>
      </c>
      <c r="D26" s="30">
        <f t="shared" si="12"/>
        <v>4.2080124946972006</v>
      </c>
      <c r="E26" s="30">
        <f t="shared" si="13"/>
        <v>4.6385397655260387</v>
      </c>
      <c r="F26" s="30">
        <f t="shared" si="14"/>
        <v>9277.0795310520789</v>
      </c>
      <c r="H26" s="1" t="s">
        <v>3</v>
      </c>
      <c r="I26" s="30">
        <f>$I$24*(U18/$U$16)</f>
        <v>207460970.8459051</v>
      </c>
      <c r="J26" s="30">
        <f>I26*B5</f>
        <v>3319168072.5636358</v>
      </c>
      <c r="K26" s="30">
        <f t="shared" si="15"/>
        <v>3319.1680725636356</v>
      </c>
      <c r="L26" s="30">
        <f t="shared" si="16"/>
        <v>3658.7565061777959</v>
      </c>
      <c r="M26" s="30">
        <f t="shared" si="17"/>
        <v>8066177.3545917394</v>
      </c>
    </row>
    <row r="27" spans="1:34">
      <c r="A27" s="1" t="s">
        <v>10</v>
      </c>
      <c r="B27" s="46">
        <f t="shared" si="10"/>
        <v>76184275.069976792</v>
      </c>
      <c r="C27" s="30">
        <f>$J$29*V7</f>
        <v>153572261.68605921</v>
      </c>
      <c r="D27" s="30">
        <f t="shared" si="12"/>
        <v>153.57226168605919</v>
      </c>
      <c r="E27" s="30">
        <f t="shared" si="13"/>
        <v>169.2844409588227</v>
      </c>
      <c r="F27" s="30">
        <f t="shared" si="14"/>
        <v>338568.88191764546</v>
      </c>
      <c r="H27" s="1" t="s">
        <v>4</v>
      </c>
      <c r="I27" s="46">
        <v>13986964.864478501</v>
      </c>
      <c r="J27" s="30">
        <f>I27*B6</f>
        <v>195915416.85675034</v>
      </c>
      <c r="K27" s="30">
        <f t="shared" si="15"/>
        <v>195.91541685675034</v>
      </c>
      <c r="L27" s="30">
        <f>K27*1.10231131</f>
        <v>215.95977980456053</v>
      </c>
      <c r="M27" s="30">
        <f t="shared" si="17"/>
        <v>476109.81556735333</v>
      </c>
    </row>
    <row r="28" spans="1:34">
      <c r="A28" s="1" t="s">
        <v>11</v>
      </c>
      <c r="B28" s="46">
        <f>C28/E7</f>
        <v>14397487.331510529</v>
      </c>
      <c r="C28" s="30">
        <f t="shared" si="11"/>
        <v>403331210.10493594</v>
      </c>
      <c r="D28" s="30">
        <f t="shared" si="12"/>
        <v>403.33121010493596</v>
      </c>
      <c r="E28" s="30">
        <f t="shared" si="13"/>
        <v>444.59655457465715</v>
      </c>
      <c r="F28" s="30">
        <f t="shared" si="14"/>
        <v>889193.10914931446</v>
      </c>
      <c r="H28" s="1" t="s">
        <v>5</v>
      </c>
      <c r="I28" s="30">
        <v>5361442.0258217426</v>
      </c>
      <c r="J28" s="30">
        <f t="shared" ref="J28" si="18">I28*B7</f>
        <v>171920000</v>
      </c>
      <c r="K28" s="30">
        <f t="shared" si="15"/>
        <v>171.92</v>
      </c>
      <c r="L28" s="30">
        <f t="shared" si="16"/>
        <v>189.50936041519998</v>
      </c>
      <c r="M28" s="30">
        <f t="shared" si="17"/>
        <v>417796.62267308246</v>
      </c>
    </row>
    <row r="29" spans="1:34">
      <c r="A29" s="1" t="s">
        <v>22</v>
      </c>
      <c r="B29" s="46">
        <f t="shared" si="10"/>
        <v>9384597.0055594966</v>
      </c>
      <c r="C29" s="30">
        <f t="shared" si="11"/>
        <v>169061638.13575321</v>
      </c>
      <c r="D29" s="30">
        <f t="shared" si="12"/>
        <v>169.06163813575321</v>
      </c>
      <c r="E29" s="30">
        <f t="shared" si="13"/>
        <v>186.35855580416808</v>
      </c>
      <c r="F29" s="30">
        <f t="shared" si="14"/>
        <v>372717.11160833616</v>
      </c>
      <c r="H29" s="1" t="s">
        <v>14</v>
      </c>
      <c r="I29" s="30">
        <f>SUM(I24:I28)</f>
        <v>604892014.00974381</v>
      </c>
      <c r="J29" s="46">
        <f>SUM(J24:J28)</f>
        <v>6204750227.7087297</v>
      </c>
      <c r="K29" s="30">
        <f>SUM(K24:K28)</f>
        <v>6204.7502277087297</v>
      </c>
      <c r="L29" s="30">
        <f>SUM(L24:L28)</f>
        <v>6839.5663517284083</v>
      </c>
      <c r="M29" s="30">
        <f>SUM(M24:M28)</f>
        <v>15078662.690011326</v>
      </c>
    </row>
    <row r="30" spans="1:34">
      <c r="A30" s="1" t="s">
        <v>23</v>
      </c>
      <c r="B30" s="46">
        <f>I28*0.950617</f>
        <v>5096677.9342605881</v>
      </c>
      <c r="C30" s="30">
        <f t="shared" si="11"/>
        <v>76484424.792714208</v>
      </c>
      <c r="D30" s="30">
        <f t="shared" si="12"/>
        <v>76.484424792714208</v>
      </c>
      <c r="E30" s="30">
        <f t="shared" si="13"/>
        <v>84.309646487853271</v>
      </c>
      <c r="F30" s="30">
        <f t="shared" si="14"/>
        <v>168619.29297570657</v>
      </c>
    </row>
    <row r="31" spans="1:34">
      <c r="A31" s="1" t="s">
        <v>24</v>
      </c>
      <c r="B31" s="46">
        <f>I28*(1-0.950617)</f>
        <v>264764.09156115487</v>
      </c>
      <c r="C31" s="30">
        <f t="shared" si="11"/>
        <v>7003590.6795775434</v>
      </c>
      <c r="D31" s="30">
        <f t="shared" si="12"/>
        <v>7.0035906795775436</v>
      </c>
      <c r="E31" s="30">
        <f t="shared" si="13"/>
        <v>7.7201372167089115</v>
      </c>
      <c r="F31" s="30">
        <f t="shared" si="14"/>
        <v>15440.274433417826</v>
      </c>
    </row>
    <row r="32" spans="1:34">
      <c r="A32" s="1" t="s">
        <v>14</v>
      </c>
      <c r="B32" s="30">
        <f>SUM(B24:B31)</f>
        <v>294447832.39273065</v>
      </c>
      <c r="C32" s="46">
        <f>SUM(C24:C31)</f>
        <v>6204750227.7087317</v>
      </c>
      <c r="D32" s="30">
        <f>SUM(D24:D31)</f>
        <v>6204.7502277087306</v>
      </c>
      <c r="E32" s="30">
        <f>SUM(E24:E31)</f>
        <v>6839.5663517284083</v>
      </c>
      <c r="F32" s="30">
        <f>SUM(F24:F31)</f>
        <v>13679132.703456817</v>
      </c>
    </row>
    <row r="34" spans="1:42" ht="47.25">
      <c r="A34" s="55" t="s">
        <v>62</v>
      </c>
      <c r="B34" s="3" t="s">
        <v>57</v>
      </c>
      <c r="C34" s="3" t="s">
        <v>20</v>
      </c>
      <c r="D34" s="3" t="s">
        <v>12</v>
      </c>
      <c r="E34" s="3" t="s">
        <v>19</v>
      </c>
      <c r="F34" s="3" t="s">
        <v>21</v>
      </c>
      <c r="H34" s="55" t="s">
        <v>63</v>
      </c>
      <c r="I34" s="3" t="s">
        <v>57</v>
      </c>
      <c r="J34" s="3" t="s">
        <v>20</v>
      </c>
      <c r="K34" s="3" t="s">
        <v>12</v>
      </c>
      <c r="L34" s="3" t="s">
        <v>19</v>
      </c>
      <c r="M34" s="3" t="s">
        <v>21</v>
      </c>
    </row>
    <row r="35" spans="1:42">
      <c r="A35" s="1" t="s">
        <v>22</v>
      </c>
      <c r="B35" s="30">
        <f>((2*B26)+B27+B29+B30)-(0.5*B16)</f>
        <v>35629087.245123073</v>
      </c>
      <c r="C35" s="30">
        <f>B35*E8</f>
        <v>641850880.90344322</v>
      </c>
      <c r="D35" s="30">
        <f>C35/1000000</f>
        <v>641.85088090344323</v>
      </c>
      <c r="E35" s="30">
        <f>D35*1.10231131</f>
        <v>707.51948535332849</v>
      </c>
      <c r="F35" s="30">
        <f>E35*2204.62262</f>
        <v>1559813.4615007068</v>
      </c>
      <c r="H35" s="1" t="s">
        <v>2</v>
      </c>
      <c r="I35" s="30">
        <f>2*B35</f>
        <v>71258174.490246147</v>
      </c>
      <c r="J35" s="30">
        <f>I35*B4</f>
        <v>71821114.068719089</v>
      </c>
      <c r="K35" s="30">
        <f>J35/1000000</f>
        <v>71.821114068719083</v>
      </c>
      <c r="L35" s="30">
        <f>K35*1.10231131</f>
        <v>79.169226334749155</v>
      </c>
      <c r="M35" s="30">
        <f>L35*2204.62262</f>
        <v>174538.2671854877</v>
      </c>
    </row>
    <row r="36" spans="1:42">
      <c r="H36" s="1" t="s">
        <v>3</v>
      </c>
      <c r="I36" s="30">
        <f>B35</f>
        <v>35629087.245123073</v>
      </c>
      <c r="J36" s="30">
        <f>I36*B5</f>
        <v>570029766.83472407</v>
      </c>
      <c r="K36" s="30">
        <f>J36/1000000</f>
        <v>570.02976683472411</v>
      </c>
      <c r="L36" s="30">
        <f>K36*1.10231131</f>
        <v>628.35025901857921</v>
      </c>
      <c r="M36" s="30">
        <f>L36*2204.62262</f>
        <v>1385275.1943152188</v>
      </c>
    </row>
    <row r="37" spans="1:42">
      <c r="H37" s="1" t="s">
        <v>14</v>
      </c>
      <c r="I37" s="30">
        <f>SUM(I35:I36)</f>
        <v>106887261.73536922</v>
      </c>
      <c r="J37" s="30">
        <f>SUM(J35:J36)</f>
        <v>641850880.9034431</v>
      </c>
      <c r="K37" s="30">
        <f>SUM(K35:K36)</f>
        <v>641.85088090344323</v>
      </c>
      <c r="L37" s="30">
        <f t="shared" ref="L37:M37" si="19">SUM(L35:L36)</f>
        <v>707.51948535332838</v>
      </c>
      <c r="M37" s="30">
        <f t="shared" si="19"/>
        <v>1559813.4615007066</v>
      </c>
    </row>
    <row r="39" spans="1:42" ht="63">
      <c r="A39" s="55" t="s">
        <v>64</v>
      </c>
      <c r="B39" s="3" t="s">
        <v>15</v>
      </c>
      <c r="C39" s="3" t="s">
        <v>20</v>
      </c>
      <c r="D39" s="3" t="s">
        <v>12</v>
      </c>
      <c r="E39" s="3" t="s">
        <v>19</v>
      </c>
      <c r="F39" s="3" t="s">
        <v>21</v>
      </c>
      <c r="H39" s="55" t="s">
        <v>65</v>
      </c>
      <c r="I39" s="3" t="s">
        <v>15</v>
      </c>
      <c r="J39" s="3" t="s">
        <v>20</v>
      </c>
      <c r="K39" s="3" t="s">
        <v>12</v>
      </c>
      <c r="L39" s="3" t="s">
        <v>19</v>
      </c>
      <c r="M39" s="3" t="s">
        <v>21</v>
      </c>
    </row>
    <row r="40" spans="1:42">
      <c r="A40" s="1" t="s">
        <v>61</v>
      </c>
      <c r="B40" s="30">
        <f>((0.5*B24)+B25+(0.5*B29)+(0.5*B31))-(0.5*B35)-(0.5*B17)</f>
        <v>80715959.542781636</v>
      </c>
      <c r="C40" s="30">
        <f>B40*(2*B5)</f>
        <v>2582749273.4499269</v>
      </c>
      <c r="D40" s="30">
        <f>C40/1000000</f>
        <v>2582.7492734499269</v>
      </c>
      <c r="E40" s="30">
        <f>D40*1.10231131</f>
        <v>2846.9937350181372</v>
      </c>
      <c r="F40" s="30">
        <f>E40*2204.62262</f>
        <v>6276546.787219272</v>
      </c>
      <c r="H40" s="1" t="s">
        <v>3</v>
      </c>
      <c r="I40" s="30">
        <f>2*B40</f>
        <v>161431919.08556327</v>
      </c>
      <c r="J40" s="30">
        <f>I40*B5</f>
        <v>2582749273.4499269</v>
      </c>
      <c r="K40" s="30">
        <f>J40/1000000</f>
        <v>2582.7492734499269</v>
      </c>
      <c r="L40" s="30">
        <f>K40*1.10231131</f>
        <v>2846.9937350181372</v>
      </c>
      <c r="M40" s="30">
        <f>L40*2204.62262</f>
        <v>6276546.787219272</v>
      </c>
    </row>
    <row r="41" spans="1:42">
      <c r="A41" s="1" t="s">
        <v>11</v>
      </c>
      <c r="B41" s="30">
        <f>B40*(Y5/Y4)</f>
        <v>4852365.6845448026</v>
      </c>
      <c r="C41" s="30">
        <f>B41*E7</f>
        <v>135934172.28683808</v>
      </c>
      <c r="D41" s="30">
        <f>C41/1000000</f>
        <v>135.93417228683808</v>
      </c>
      <c r="E41" s="30">
        <f>D41*1.10231131</f>
        <v>149.84177552727016</v>
      </c>
      <c r="F41" s="30">
        <f>E41*2204.62262</f>
        <v>330344.56774838222</v>
      </c>
      <c r="H41" s="1" t="s">
        <v>4</v>
      </c>
      <c r="I41" s="30">
        <f>2*B41</f>
        <v>9704731.3690896053</v>
      </c>
      <c r="J41" s="30">
        <f>I41*B6</f>
        <v>135934172.28683808</v>
      </c>
      <c r="K41" s="30">
        <f>J41/1000000</f>
        <v>135.93417228683808</v>
      </c>
      <c r="L41" s="30">
        <f>K41*1.10231131</f>
        <v>149.84177552727016</v>
      </c>
      <c r="M41" s="30">
        <f>L41*2204.62262</f>
        <v>330344.56774838222</v>
      </c>
      <c r="R41" s="30"/>
    </row>
    <row r="42" spans="1:42">
      <c r="A42" s="1" t="s">
        <v>53</v>
      </c>
      <c r="B42" s="30">
        <f>SUM(B40:B41)</f>
        <v>85568325.227326438</v>
      </c>
      <c r="C42" s="30">
        <f t="shared" ref="C42:F42" si="20">SUM(C40:C41)</f>
        <v>2718683445.7367649</v>
      </c>
      <c r="D42" s="30">
        <f t="shared" si="20"/>
        <v>2718.683445736765</v>
      </c>
      <c r="E42" s="30">
        <f t="shared" si="20"/>
        <v>2996.8355105454075</v>
      </c>
      <c r="F42" s="30">
        <f t="shared" si="20"/>
        <v>6606891.3549676538</v>
      </c>
      <c r="H42" s="1" t="s">
        <v>14</v>
      </c>
      <c r="I42" s="30">
        <f>SUM(I40:I41)</f>
        <v>171136650.45465288</v>
      </c>
      <c r="J42" s="30">
        <f>SUM(J40:J41)</f>
        <v>2718683445.7367649</v>
      </c>
      <c r="K42" s="30">
        <f>SUM(K40:K41)</f>
        <v>2718.683445736765</v>
      </c>
      <c r="L42" s="30">
        <f>SUM(L40:L41)</f>
        <v>2996.8355105454075</v>
      </c>
      <c r="M42" s="30">
        <f>SUM(M40:M41)</f>
        <v>6606891.3549676538</v>
      </c>
      <c r="AI42" s="30"/>
    </row>
    <row r="44" spans="1:42" ht="110.25">
      <c r="A44" s="59" t="s">
        <v>92</v>
      </c>
      <c r="B44" s="3" t="s">
        <v>15</v>
      </c>
      <c r="C44" s="3" t="s">
        <v>20</v>
      </c>
      <c r="D44" s="3" t="s">
        <v>12</v>
      </c>
      <c r="E44" s="3" t="s">
        <v>19</v>
      </c>
      <c r="F44" s="3" t="s">
        <v>21</v>
      </c>
      <c r="H44" s="55" t="s">
        <v>94</v>
      </c>
      <c r="I44" s="3" t="s">
        <v>15</v>
      </c>
      <c r="J44" s="3" t="s">
        <v>20</v>
      </c>
      <c r="K44" s="3" t="s">
        <v>12</v>
      </c>
      <c r="L44" s="3" t="s">
        <v>19</v>
      </c>
      <c r="M44" s="3" t="s">
        <v>21</v>
      </c>
      <c r="P44" s="73" t="s">
        <v>121</v>
      </c>
      <c r="Q44" s="64" t="s">
        <v>15</v>
      </c>
      <c r="R44" s="64" t="s">
        <v>20</v>
      </c>
      <c r="S44" s="64" t="s">
        <v>12</v>
      </c>
      <c r="T44" s="64" t="s">
        <v>19</v>
      </c>
      <c r="U44" s="64" t="s">
        <v>21</v>
      </c>
      <c r="V44" s="26"/>
      <c r="W44" s="83" t="s">
        <v>127</v>
      </c>
      <c r="X44" s="64" t="s">
        <v>15</v>
      </c>
      <c r="Y44" s="64" t="s">
        <v>20</v>
      </c>
      <c r="Z44" s="64" t="s">
        <v>12</v>
      </c>
      <c r="AA44" s="64" t="s">
        <v>19</v>
      </c>
      <c r="AB44" s="64" t="s">
        <v>21</v>
      </c>
      <c r="AC44" s="26"/>
      <c r="AD44" s="84" t="s">
        <v>128</v>
      </c>
      <c r="AE44" s="64" t="s">
        <v>15</v>
      </c>
      <c r="AF44" s="64" t="s">
        <v>20</v>
      </c>
      <c r="AG44" s="64" t="s">
        <v>12</v>
      </c>
      <c r="AH44" s="64" t="s">
        <v>19</v>
      </c>
      <c r="AI44" s="64" t="s">
        <v>21</v>
      </c>
      <c r="AJ44" s="26"/>
      <c r="AK44" s="84" t="s">
        <v>144</v>
      </c>
      <c r="AL44" s="64" t="s">
        <v>15</v>
      </c>
      <c r="AM44" s="64" t="s">
        <v>20</v>
      </c>
      <c r="AN44" s="64" t="s">
        <v>12</v>
      </c>
      <c r="AO44" s="64" t="s">
        <v>19</v>
      </c>
      <c r="AP44" s="85" t="s">
        <v>21</v>
      </c>
    </row>
    <row r="45" spans="1:42">
      <c r="A45" s="1" t="s">
        <v>7</v>
      </c>
      <c r="B45" s="30">
        <f>B24</f>
        <v>182533326.22925198</v>
      </c>
      <c r="C45" s="30">
        <f>B45*E3</f>
        <v>5112758467.6813478</v>
      </c>
      <c r="D45" s="30">
        <f>C45/1000000</f>
        <v>5112.7584676813476</v>
      </c>
      <c r="E45" s="30">
        <f>D45*1.10231131</f>
        <v>5635.851484223419</v>
      </c>
      <c r="F45" s="30">
        <f>D45*2204.62262</f>
        <v>11271702.968446838</v>
      </c>
      <c r="H45" s="1" t="s">
        <v>0</v>
      </c>
      <c r="I45" s="56">
        <f>B45+B46+B47+B52</f>
        <v>183428068.86301184</v>
      </c>
      <c r="J45" s="30">
        <f>I45*B3</f>
        <v>2203154535.1136351</v>
      </c>
      <c r="K45" s="30">
        <f>J45/1000000</f>
        <v>2203.1545351136351</v>
      </c>
      <c r="L45" s="30">
        <f>K45*1.10231131</f>
        <v>2428.5621617335519</v>
      </c>
      <c r="M45" s="30">
        <f>K45*2204.62262</f>
        <v>4857124.3234671047</v>
      </c>
      <c r="P45" s="65" t="s">
        <v>7</v>
      </c>
      <c r="Q45" s="66">
        <f>(1-$C$68)*B45</f>
        <v>75214682.406025574</v>
      </c>
      <c r="R45" s="66">
        <f>Q45*E3</f>
        <v>2106763254.1927762</v>
      </c>
      <c r="S45" s="66">
        <f>R45/1000000</f>
        <v>2106.763254192776</v>
      </c>
      <c r="T45" s="66">
        <f>S45*1.10231131</f>
        <v>2322.3089625891016</v>
      </c>
      <c r="U45" s="67">
        <f>T45*2204.62262</f>
        <v>5119814.8695526673</v>
      </c>
      <c r="V45" s="68"/>
      <c r="W45" s="16" t="s">
        <v>0</v>
      </c>
      <c r="X45" s="66">
        <f>Q45+Q46+Q47+Q52</f>
        <v>75583370.055692658</v>
      </c>
      <c r="Y45" s="4">
        <f>X45*B3</f>
        <v>907831857.7389245</v>
      </c>
      <c r="Z45" s="4">
        <f>Y45/1000000</f>
        <v>907.83185773892455</v>
      </c>
      <c r="AA45" s="4">
        <f>Z45*1.10231131</f>
        <v>1000.7133243639275</v>
      </c>
      <c r="AB45" s="4">
        <f>AA45*2204.62262</f>
        <v>2206195.2310281117</v>
      </c>
      <c r="AC45" s="4"/>
      <c r="AD45" s="16" t="s">
        <v>7</v>
      </c>
      <c r="AE45" s="66">
        <f>($C$68)*B45</f>
        <v>107318643.82322641</v>
      </c>
      <c r="AF45" s="66">
        <f>AE45*E3</f>
        <v>3005995213.4885716</v>
      </c>
      <c r="AG45" s="66">
        <f>AF45/1000000</f>
        <v>3005.9952134885716</v>
      </c>
      <c r="AH45" s="66">
        <f>AG45*1.10231131</f>
        <v>3313.5425216343169</v>
      </c>
      <c r="AI45" s="67">
        <f>AH45*2204.62262</f>
        <v>7305110.7955268547</v>
      </c>
      <c r="AJ45" s="4"/>
      <c r="AK45" s="16" t="s">
        <v>0</v>
      </c>
      <c r="AL45" s="66">
        <f>AE45+AE46+AE47+AE52</f>
        <v>107844698.80731918</v>
      </c>
      <c r="AM45" s="4">
        <f>AL45*B3</f>
        <v>1295322677.3747106</v>
      </c>
      <c r="AN45" s="4">
        <f>AM45/1000000</f>
        <v>1295.3226773747106</v>
      </c>
      <c r="AO45" s="4">
        <f>AN45*1.10231131</f>
        <v>1427.8488373696246</v>
      </c>
      <c r="AP45" s="13">
        <f>AO45*2204.62262</f>
        <v>3147867.8448057757</v>
      </c>
    </row>
    <row r="46" spans="1:42">
      <c r="A46" s="1" t="s">
        <v>72</v>
      </c>
      <c r="B46" s="30">
        <f>0.1*B25</f>
        <v>632440.23298335727</v>
      </c>
      <c r="C46" s="30">
        <f t="shared" ref="C46:C52" si="21">B46*E4</f>
        <v>27833062.213364571</v>
      </c>
      <c r="D46" s="30">
        <f t="shared" ref="D46:D52" si="22">C46/1000000</f>
        <v>27.83306221336457</v>
      </c>
      <c r="E46" s="30">
        <f t="shared" ref="E46:E52" si="23">D46*1.10231131</f>
        <v>30.680699269725398</v>
      </c>
      <c r="F46" s="30">
        <f t="shared" ref="F46:F52" si="24">D46*2204.62262</f>
        <v>61361.398539450798</v>
      </c>
      <c r="H46" s="1" t="s">
        <v>2</v>
      </c>
      <c r="I46" s="30">
        <f>(4*B47)+(2*B48)+(2*B50)+(2*B51)</f>
        <v>153417759.74305961</v>
      </c>
      <c r="J46" s="30">
        <f t="shared" ref="J46:J49" si="25">I46*B4</f>
        <v>154629760.04502979</v>
      </c>
      <c r="K46" s="30">
        <f t="shared" ref="K46:K49" si="26">J46/1000000</f>
        <v>154.6297600450298</v>
      </c>
      <c r="L46" s="30">
        <f t="shared" ref="L46:L49" si="27">K46*1.10231131</f>
        <v>170.45013336022245</v>
      </c>
      <c r="M46" s="30">
        <f t="shared" ref="M46:M49" si="28">K46*2204.62262</f>
        <v>340900.26672044495</v>
      </c>
      <c r="P46" s="65" t="s">
        <v>8</v>
      </c>
      <c r="Q46" s="66">
        <f t="shared" ref="Q46:Q52" si="29">(1-$C$68)*B46</f>
        <v>260603.32240312218</v>
      </c>
      <c r="R46" s="66">
        <f t="shared" ref="R46:R52" si="30">Q46*E4</f>
        <v>11468891.615639005</v>
      </c>
      <c r="S46" s="66">
        <f t="shared" ref="S46:S52" si="31">R46/1000000</f>
        <v>11.468891615639006</v>
      </c>
      <c r="T46" s="66">
        <f t="shared" ref="T46:T52" si="32">S46*1.10231131</f>
        <v>12.642288941083049</v>
      </c>
      <c r="U46" s="67">
        <f t="shared" ref="U46:U52" si="33">T46*2204.62262</f>
        <v>27871.476168087538</v>
      </c>
      <c r="V46" s="37"/>
      <c r="W46" s="16" t="s">
        <v>2</v>
      </c>
      <c r="X46" s="4">
        <f>(4*Q47)+(2*Q48)+(2*Q51)+(2*Q50)</f>
        <v>63217322.079725146</v>
      </c>
      <c r="Y46" s="4">
        <f t="shared" ref="Y46:Y49" si="34">X46*B4</f>
        <v>63716738.924154975</v>
      </c>
      <c r="Z46" s="4">
        <f t="shared" ref="Z46:Z49" si="35">Y46/1000000</f>
        <v>63.716738924154974</v>
      </c>
      <c r="AA46" s="4">
        <f t="shared" ref="AA46:AA49" si="36">Z46*1.10231131</f>
        <v>70.235681952413259</v>
      </c>
      <c r="AB46" s="4">
        <f t="shared" ref="AB46:AB49" si="37">AA46*2204.62262</f>
        <v>154843.17316341604</v>
      </c>
      <c r="AC46" s="4"/>
      <c r="AD46" s="16" t="s">
        <v>8</v>
      </c>
      <c r="AE46" s="66">
        <f t="shared" ref="AE46:AE52" si="38">($C$68)*B46</f>
        <v>371836.91058023507</v>
      </c>
      <c r="AF46" s="66">
        <f t="shared" ref="AF46:AF52" si="39">AE46*E4</f>
        <v>16364170.597725565</v>
      </c>
      <c r="AG46" s="66">
        <f t="shared" ref="AG46:AG52" si="40">AF46/1000000</f>
        <v>16.364170597725565</v>
      </c>
      <c r="AH46" s="66">
        <f t="shared" ref="AH46:AH52" si="41">AG46*1.10231131</f>
        <v>18.03841032864235</v>
      </c>
      <c r="AI46" s="67">
        <f t="shared" ref="AI46:AI52" si="42">AH46*2204.62262</f>
        <v>39767.887439366561</v>
      </c>
      <c r="AJ46" s="4"/>
      <c r="AK46" s="16" t="s">
        <v>2</v>
      </c>
      <c r="AL46" s="4">
        <f>(4*AE47)+(2*AE48)+(2*AE51)+(2*AE50)</f>
        <v>90200437.663334474</v>
      </c>
      <c r="AM46" s="4">
        <f>AL46*B4</f>
        <v>90913021.120874822</v>
      </c>
      <c r="AN46" s="4">
        <f t="shared" ref="AN46:AN49" si="43">AM46/1000000</f>
        <v>90.913021120874816</v>
      </c>
      <c r="AO46" s="4">
        <f t="shared" ref="AO46:AO49" si="44">AN46*1.10231131</f>
        <v>100.21445140780918</v>
      </c>
      <c r="AP46" s="13">
        <f t="shared" ref="AP46:AP49" si="45">AO46*2204.62262</f>
        <v>220935.04642454698</v>
      </c>
    </row>
    <row r="47" spans="1:42">
      <c r="A47" s="1" t="s">
        <v>9</v>
      </c>
      <c r="B47" s="30">
        <f>B26</f>
        <v>262302.40077650762</v>
      </c>
      <c r="C47" s="30">
        <f t="shared" si="21"/>
        <v>4208012.4946972011</v>
      </c>
      <c r="D47" s="30">
        <f t="shared" si="22"/>
        <v>4.2080124946972006</v>
      </c>
      <c r="E47" s="30">
        <f t="shared" si="23"/>
        <v>4.6385397655260387</v>
      </c>
      <c r="F47" s="30">
        <f t="shared" si="24"/>
        <v>9277.0795310520789</v>
      </c>
      <c r="H47" s="1" t="s">
        <v>3</v>
      </c>
      <c r="I47" s="30">
        <f>B45+(2*B46)+(B50)+(B52)</f>
        <v>183798206.69521868</v>
      </c>
      <c r="J47" s="30">
        <f t="shared" si="25"/>
        <v>2940587508.9168038</v>
      </c>
      <c r="K47" s="30">
        <f t="shared" si="26"/>
        <v>2940.5875089168039</v>
      </c>
      <c r="L47" s="30">
        <f t="shared" si="27"/>
        <v>3241.4428691237185</v>
      </c>
      <c r="M47" s="30">
        <f t="shared" si="28"/>
        <v>6482885.7382474383</v>
      </c>
      <c r="P47" s="65" t="s">
        <v>9</v>
      </c>
      <c r="Q47" s="66">
        <f t="shared" si="29"/>
        <v>108084.32726396773</v>
      </c>
      <c r="R47" s="66">
        <f t="shared" si="30"/>
        <v>1733953.6285649287</v>
      </c>
      <c r="S47" s="66">
        <f t="shared" si="31"/>
        <v>1.7339536285649286</v>
      </c>
      <c r="T47" s="66">
        <f t="shared" si="32"/>
        <v>1.9113566957826598</v>
      </c>
      <c r="U47" s="67">
        <f t="shared" si="33"/>
        <v>4213.8202064109109</v>
      </c>
      <c r="V47" s="37"/>
      <c r="W47" s="16" t="s">
        <v>3</v>
      </c>
      <c r="X47" s="4">
        <f>Q45+(2*Q46)+Q617+Q52</f>
        <v>75735889.050831825</v>
      </c>
      <c r="Y47" s="4">
        <f>X47*B5</f>
        <v>1211698488.9242585</v>
      </c>
      <c r="Z47" s="4">
        <f t="shared" si="35"/>
        <v>1211.6984889242585</v>
      </c>
      <c r="AA47" s="4">
        <f t="shared" si="36"/>
        <v>1335.6689486511198</v>
      </c>
      <c r="AB47" s="4">
        <f t="shared" si="37"/>
        <v>2944645.9770278772</v>
      </c>
      <c r="AC47" s="4"/>
      <c r="AD47" s="16" t="s">
        <v>9</v>
      </c>
      <c r="AE47" s="66">
        <f t="shared" si="38"/>
        <v>154218.07351253991</v>
      </c>
      <c r="AF47" s="66">
        <f t="shared" si="39"/>
        <v>2474058.8661322729</v>
      </c>
      <c r="AG47" s="66">
        <f t="shared" si="40"/>
        <v>2.4740588661322729</v>
      </c>
      <c r="AH47" s="66">
        <f t="shared" si="41"/>
        <v>2.7271830697433801</v>
      </c>
      <c r="AI47" s="67">
        <f t="shared" si="42"/>
        <v>6012.4094844372939</v>
      </c>
      <c r="AJ47" s="4"/>
      <c r="AK47" s="16" t="s">
        <v>3</v>
      </c>
      <c r="AL47" s="4">
        <f>AE45+(2*AE46)+AE617+AE52</f>
        <v>108062317.64438687</v>
      </c>
      <c r="AM47" s="4">
        <f t="shared" ref="AM47:AM49" si="46">AL47*B5</f>
        <v>1728889019.9925456</v>
      </c>
      <c r="AN47" s="4">
        <f t="shared" si="43"/>
        <v>1728.8890199925456</v>
      </c>
      <c r="AO47" s="4">
        <f t="shared" si="44"/>
        <v>1905.773920472599</v>
      </c>
      <c r="AP47" s="13">
        <f t="shared" si="45"/>
        <v>4201512.2936799731</v>
      </c>
    </row>
    <row r="48" spans="1:42">
      <c r="A48" s="1" t="s">
        <v>10</v>
      </c>
      <c r="B48" s="30">
        <f>B27</f>
        <v>76184275.069976792</v>
      </c>
      <c r="C48" s="30">
        <f t="shared" si="21"/>
        <v>153572261.68605921</v>
      </c>
      <c r="D48" s="30">
        <f t="shared" si="22"/>
        <v>153.57226168605919</v>
      </c>
      <c r="E48" s="30">
        <f t="shared" si="23"/>
        <v>169.2844409588227</v>
      </c>
      <c r="F48" s="30">
        <f t="shared" si="24"/>
        <v>338568.88191764546</v>
      </c>
      <c r="H48" s="1" t="s">
        <v>4</v>
      </c>
      <c r="I48" s="30">
        <f>2*B49</f>
        <v>28794974.663021058</v>
      </c>
      <c r="J48" s="30">
        <f t="shared" si="25"/>
        <v>403331210.10493594</v>
      </c>
      <c r="K48" s="30">
        <f t="shared" si="26"/>
        <v>403.33121010493596</v>
      </c>
      <c r="L48" s="30">
        <f t="shared" si="27"/>
        <v>444.59655457465715</v>
      </c>
      <c r="M48" s="30">
        <f t="shared" si="28"/>
        <v>889193.10914931446</v>
      </c>
      <c r="P48" s="65" t="s">
        <v>10</v>
      </c>
      <c r="Q48" s="66">
        <f t="shared" si="29"/>
        <v>31392492.385334637</v>
      </c>
      <c r="R48" s="66">
        <f t="shared" si="30"/>
        <v>63280986.150357559</v>
      </c>
      <c r="S48" s="66">
        <f t="shared" si="31"/>
        <v>63.280986150357556</v>
      </c>
      <c r="T48" s="66">
        <f t="shared" si="32"/>
        <v>69.755346741492488</v>
      </c>
      <c r="U48" s="67">
        <f t="shared" si="33"/>
        <v>153784.21529223764</v>
      </c>
      <c r="V48" s="37"/>
      <c r="W48" s="16" t="s">
        <v>4</v>
      </c>
      <c r="X48" s="4">
        <f>2*Q49</f>
        <v>11865257.259644456</v>
      </c>
      <c r="Y48" s="4">
        <f t="shared" si="34"/>
        <v>166196658.43583989</v>
      </c>
      <c r="Z48" s="4">
        <f t="shared" si="35"/>
        <v>166.19665843583988</v>
      </c>
      <c r="AA48" s="4">
        <f t="shared" si="36"/>
        <v>183.20045627803319</v>
      </c>
      <c r="AB48" s="4">
        <f t="shared" si="37"/>
        <v>403887.86990487296</v>
      </c>
      <c r="AC48" s="4"/>
      <c r="AD48" s="16" t="s">
        <v>10</v>
      </c>
      <c r="AE48" s="66">
        <f t="shared" si="38"/>
        <v>44791782.684642158</v>
      </c>
      <c r="AF48" s="66">
        <f t="shared" si="39"/>
        <v>90291275.535701662</v>
      </c>
      <c r="AG48" s="66">
        <f t="shared" si="40"/>
        <v>90.291275535701658</v>
      </c>
      <c r="AH48" s="66">
        <f t="shared" si="41"/>
        <v>99.52909421733024</v>
      </c>
      <c r="AI48" s="67">
        <f t="shared" si="42"/>
        <v>219424.09245963744</v>
      </c>
      <c r="AJ48" s="4"/>
      <c r="AK48" s="16" t="s">
        <v>4</v>
      </c>
      <c r="AL48" s="4">
        <f>2*AE49</f>
        <v>16929717.403376602</v>
      </c>
      <c r="AM48" s="4">
        <f t="shared" si="46"/>
        <v>237134551.66909605</v>
      </c>
      <c r="AN48" s="4">
        <f t="shared" si="43"/>
        <v>237.13455166909606</v>
      </c>
      <c r="AO48" s="4">
        <f t="shared" si="44"/>
        <v>261.39609829662396</v>
      </c>
      <c r="AP48" s="13">
        <f t="shared" si="45"/>
        <v>576279.75108448067</v>
      </c>
    </row>
    <row r="49" spans="1:42">
      <c r="A49" s="1" t="s">
        <v>11</v>
      </c>
      <c r="B49" s="30">
        <f>B28</f>
        <v>14397487.331510529</v>
      </c>
      <c r="C49" s="30">
        <f t="shared" si="21"/>
        <v>403331210.10493594</v>
      </c>
      <c r="D49" s="30">
        <f t="shared" si="22"/>
        <v>403.33121010493596</v>
      </c>
      <c r="E49" s="30">
        <f t="shared" si="23"/>
        <v>444.59655457465715</v>
      </c>
      <c r="F49" s="30">
        <f t="shared" si="24"/>
        <v>889193.10914931446</v>
      </c>
      <c r="H49" s="1" t="s">
        <v>5</v>
      </c>
      <c r="I49" s="30">
        <f>B51+B52</f>
        <v>0</v>
      </c>
      <c r="J49" s="30">
        <f t="shared" si="25"/>
        <v>0</v>
      </c>
      <c r="K49" s="30">
        <f t="shared" si="26"/>
        <v>0</v>
      </c>
      <c r="L49" s="30">
        <f t="shared" si="27"/>
        <v>0</v>
      </c>
      <c r="M49" s="30">
        <f t="shared" si="28"/>
        <v>0</v>
      </c>
      <c r="P49" s="65" t="s">
        <v>11</v>
      </c>
      <c r="Q49" s="66">
        <f t="shared" si="29"/>
        <v>5932628.6298222281</v>
      </c>
      <c r="R49" s="66">
        <f t="shared" si="30"/>
        <v>166196658.43583989</v>
      </c>
      <c r="S49" s="66">
        <f t="shared" si="31"/>
        <v>166.19665843583988</v>
      </c>
      <c r="T49" s="66">
        <f t="shared" si="32"/>
        <v>183.20045627803319</v>
      </c>
      <c r="U49" s="67">
        <f t="shared" si="33"/>
        <v>403887.86990487296</v>
      </c>
      <c r="V49" s="37"/>
      <c r="W49" s="16" t="s">
        <v>5</v>
      </c>
      <c r="X49" s="66">
        <f>Q51+Q52</f>
        <v>0</v>
      </c>
      <c r="Y49" s="4">
        <f t="shared" si="34"/>
        <v>0</v>
      </c>
      <c r="Z49" s="4">
        <f t="shared" si="35"/>
        <v>0</v>
      </c>
      <c r="AA49" s="4">
        <f t="shared" si="36"/>
        <v>0</v>
      </c>
      <c r="AB49" s="4">
        <f t="shared" si="37"/>
        <v>0</v>
      </c>
      <c r="AC49" s="4"/>
      <c r="AD49" s="16" t="s">
        <v>11</v>
      </c>
      <c r="AE49" s="66">
        <f t="shared" si="38"/>
        <v>8464858.7016883008</v>
      </c>
      <c r="AF49" s="66">
        <f t="shared" si="39"/>
        <v>237134551.66909605</v>
      </c>
      <c r="AG49" s="66">
        <f t="shared" si="40"/>
        <v>237.13455166909606</v>
      </c>
      <c r="AH49" s="66">
        <f t="shared" si="41"/>
        <v>261.39609829662396</v>
      </c>
      <c r="AI49" s="67">
        <f t="shared" si="42"/>
        <v>576279.75108448067</v>
      </c>
      <c r="AJ49" s="4"/>
      <c r="AK49" s="16" t="s">
        <v>5</v>
      </c>
      <c r="AL49" s="66">
        <f>AE51+AE52</f>
        <v>0</v>
      </c>
      <c r="AM49" s="4">
        <f t="shared" si="46"/>
        <v>0</v>
      </c>
      <c r="AN49" s="4">
        <f t="shared" si="43"/>
        <v>0</v>
      </c>
      <c r="AO49" s="4">
        <f t="shared" si="44"/>
        <v>0</v>
      </c>
      <c r="AP49" s="13">
        <f t="shared" si="45"/>
        <v>0</v>
      </c>
    </row>
    <row r="50" spans="1:42">
      <c r="A50" s="1" t="s">
        <v>22</v>
      </c>
      <c r="B50" s="30">
        <v>0</v>
      </c>
      <c r="C50" s="30">
        <f t="shared" si="21"/>
        <v>0</v>
      </c>
      <c r="D50" s="30">
        <f t="shared" si="22"/>
        <v>0</v>
      </c>
      <c r="E50" s="30">
        <f t="shared" si="23"/>
        <v>0</v>
      </c>
      <c r="F50" s="30">
        <f t="shared" si="24"/>
        <v>0</v>
      </c>
      <c r="H50" s="1" t="s">
        <v>14</v>
      </c>
      <c r="I50" s="30">
        <f>SUM(I45:I49)</f>
        <v>549439009.96431124</v>
      </c>
      <c r="J50" s="30">
        <f>SUM(J45:J49)</f>
        <v>5701703014.1804037</v>
      </c>
      <c r="K50" s="30">
        <f>SUM(K45:K49)</f>
        <v>5701.7030141804044</v>
      </c>
      <c r="L50" s="30">
        <f>SUM(L45:L49)</f>
        <v>6285.0517187921505</v>
      </c>
      <c r="M50" s="30">
        <f>SUM(M45:M49)</f>
        <v>12570103.437584303</v>
      </c>
      <c r="P50" s="65" t="s">
        <v>22</v>
      </c>
      <c r="Q50" s="66">
        <f t="shared" si="29"/>
        <v>0</v>
      </c>
      <c r="R50" s="66">
        <f t="shared" si="30"/>
        <v>0</v>
      </c>
      <c r="S50" s="66">
        <f t="shared" si="31"/>
        <v>0</v>
      </c>
      <c r="T50" s="66">
        <f t="shared" si="32"/>
        <v>0</v>
      </c>
      <c r="U50" s="67">
        <f t="shared" si="33"/>
        <v>0</v>
      </c>
      <c r="V50" s="37"/>
      <c r="W50" s="16" t="s">
        <v>14</v>
      </c>
      <c r="X50" s="66">
        <f>SUM(X45:X49)</f>
        <v>226401838.44589409</v>
      </c>
      <c r="Y50" s="66">
        <f t="shared" ref="Y50" si="47">SUM(Y45:Y49)</f>
        <v>2349443744.0231781</v>
      </c>
      <c r="Z50" s="66">
        <f t="shared" ref="Z50" si="48">SUM(Z45:Z49)</f>
        <v>2349.4437440231777</v>
      </c>
      <c r="AA50" s="66">
        <f t="shared" ref="AA50" si="49">SUM(AA45:AA49)</f>
        <v>2589.8184112454937</v>
      </c>
      <c r="AB50" s="66">
        <f t="shared" ref="AB50" si="50">SUM(AB45:AB49)</f>
        <v>5709572.2511242777</v>
      </c>
      <c r="AC50" s="4"/>
      <c r="AD50" s="16" t="s">
        <v>22</v>
      </c>
      <c r="AE50" s="66">
        <f t="shared" si="38"/>
        <v>0</v>
      </c>
      <c r="AF50" s="66">
        <f t="shared" si="39"/>
        <v>0</v>
      </c>
      <c r="AG50" s="66">
        <f t="shared" si="40"/>
        <v>0</v>
      </c>
      <c r="AH50" s="66">
        <f t="shared" si="41"/>
        <v>0</v>
      </c>
      <c r="AI50" s="67">
        <f t="shared" si="42"/>
        <v>0</v>
      </c>
      <c r="AJ50" s="4"/>
      <c r="AK50" s="16" t="s">
        <v>14</v>
      </c>
      <c r="AL50" s="66">
        <f>SUM(AL45:AL49)</f>
        <v>323037171.51841712</v>
      </c>
      <c r="AM50" s="66">
        <f t="shared" ref="AM50" si="51">SUM(AM45:AM49)</f>
        <v>3352259270.157227</v>
      </c>
      <c r="AN50" s="66">
        <f t="shared" ref="AN50" si="52">SUM(AN45:AN49)</f>
        <v>3352.2592701572275</v>
      </c>
      <c r="AO50" s="66">
        <f t="shared" ref="AO50" si="53">SUM(AO45:AO49)</f>
        <v>3695.2333075466568</v>
      </c>
      <c r="AP50" s="80">
        <f t="shared" ref="AP50" si="54">SUM(AP45:AP49)</f>
        <v>8146594.935994776</v>
      </c>
    </row>
    <row r="51" spans="1:42">
      <c r="A51" s="1" t="s">
        <v>23</v>
      </c>
      <c r="B51" s="30">
        <v>0</v>
      </c>
      <c r="C51" s="30">
        <f t="shared" si="21"/>
        <v>0</v>
      </c>
      <c r="D51" s="30">
        <f t="shared" si="22"/>
        <v>0</v>
      </c>
      <c r="E51" s="30">
        <f t="shared" si="23"/>
        <v>0</v>
      </c>
      <c r="F51" s="30">
        <f t="shared" si="24"/>
        <v>0</v>
      </c>
      <c r="H51" s="1"/>
      <c r="I51" s="30"/>
      <c r="J51" s="30"/>
      <c r="K51" s="30"/>
      <c r="L51" s="30"/>
      <c r="M51" s="30"/>
      <c r="P51" s="65" t="s">
        <v>23</v>
      </c>
      <c r="Q51" s="66">
        <f t="shared" si="29"/>
        <v>0</v>
      </c>
      <c r="R51" s="66">
        <f t="shared" si="30"/>
        <v>0</v>
      </c>
      <c r="S51" s="66">
        <f t="shared" si="31"/>
        <v>0</v>
      </c>
      <c r="T51" s="66">
        <f t="shared" si="32"/>
        <v>0</v>
      </c>
      <c r="U51" s="67">
        <f t="shared" si="33"/>
        <v>0</v>
      </c>
      <c r="V51" s="4"/>
      <c r="W51" s="4"/>
      <c r="X51" s="4"/>
      <c r="Y51" s="4"/>
      <c r="Z51" s="4"/>
      <c r="AA51" s="4"/>
      <c r="AB51" s="4"/>
      <c r="AC51" s="4"/>
      <c r="AD51" s="16" t="s">
        <v>23</v>
      </c>
      <c r="AE51" s="66">
        <f t="shared" si="38"/>
        <v>0</v>
      </c>
      <c r="AF51" s="66">
        <f t="shared" si="39"/>
        <v>0</v>
      </c>
      <c r="AG51" s="66">
        <f t="shared" si="40"/>
        <v>0</v>
      </c>
      <c r="AH51" s="66">
        <f t="shared" si="41"/>
        <v>0</v>
      </c>
      <c r="AI51" s="67">
        <f t="shared" si="42"/>
        <v>0</v>
      </c>
      <c r="AJ51" s="4"/>
      <c r="AK51" s="4"/>
      <c r="AL51" s="4"/>
      <c r="AM51" s="4"/>
      <c r="AN51" s="4"/>
      <c r="AO51" s="4"/>
      <c r="AP51" s="13"/>
    </row>
    <row r="52" spans="1:42">
      <c r="A52" s="1" t="s">
        <v>24</v>
      </c>
      <c r="B52" s="30">
        <v>0</v>
      </c>
      <c r="C52" s="30">
        <f t="shared" si="21"/>
        <v>0</v>
      </c>
      <c r="D52" s="30">
        <f t="shared" si="22"/>
        <v>0</v>
      </c>
      <c r="E52" s="30">
        <f t="shared" si="23"/>
        <v>0</v>
      </c>
      <c r="F52" s="30">
        <f t="shared" si="24"/>
        <v>0</v>
      </c>
      <c r="H52" s="1"/>
      <c r="P52" s="65" t="s">
        <v>24</v>
      </c>
      <c r="Q52" s="66">
        <f t="shared" si="29"/>
        <v>0</v>
      </c>
      <c r="R52" s="66">
        <f t="shared" si="30"/>
        <v>0</v>
      </c>
      <c r="S52" s="66">
        <f t="shared" si="31"/>
        <v>0</v>
      </c>
      <c r="T52" s="66">
        <f t="shared" si="32"/>
        <v>0</v>
      </c>
      <c r="U52" s="67">
        <f t="shared" si="33"/>
        <v>0</v>
      </c>
      <c r="V52" s="4"/>
      <c r="W52" s="4"/>
      <c r="X52" s="4"/>
      <c r="Y52" s="4"/>
      <c r="Z52" s="4"/>
      <c r="AA52" s="4"/>
      <c r="AB52" s="4"/>
      <c r="AC52" s="4"/>
      <c r="AD52" s="16" t="s">
        <v>24</v>
      </c>
      <c r="AE52" s="66">
        <f t="shared" si="38"/>
        <v>0</v>
      </c>
      <c r="AF52" s="66">
        <f t="shared" si="39"/>
        <v>0</v>
      </c>
      <c r="AG52" s="66">
        <f t="shared" si="40"/>
        <v>0</v>
      </c>
      <c r="AH52" s="66">
        <f t="shared" si="41"/>
        <v>0</v>
      </c>
      <c r="AI52" s="67">
        <f t="shared" si="42"/>
        <v>0</v>
      </c>
      <c r="AJ52" s="4"/>
      <c r="AK52" s="4"/>
      <c r="AL52" s="4"/>
      <c r="AM52" s="4"/>
      <c r="AN52" s="4"/>
      <c r="AO52" s="4"/>
      <c r="AP52" s="13"/>
    </row>
    <row r="53" spans="1:42">
      <c r="A53" s="1" t="s">
        <v>14</v>
      </c>
      <c r="B53" s="30">
        <f>SUM(B45:B52)</f>
        <v>274009831.26449919</v>
      </c>
      <c r="C53" s="30">
        <f>SUM(C45:C52)</f>
        <v>5701703014.1804047</v>
      </c>
      <c r="D53" s="30">
        <f>SUM(D45:D52)</f>
        <v>5701.7030141804044</v>
      </c>
      <c r="E53" s="30">
        <f>SUM(E45:E52)</f>
        <v>6285.0517187921505</v>
      </c>
      <c r="F53" s="30">
        <f>SUM(F45:F52)</f>
        <v>12570103.4375843</v>
      </c>
      <c r="H53" s="1"/>
      <c r="P53" s="69" t="s">
        <v>14</v>
      </c>
      <c r="Q53" s="67">
        <f>SUM(Q45:Q52)</f>
        <v>112908491.07084952</v>
      </c>
      <c r="R53" s="67">
        <f t="shared" ref="R53:U53" si="55">SUM(R45:R52)</f>
        <v>2349443744.0231771</v>
      </c>
      <c r="S53" s="67">
        <f t="shared" si="55"/>
        <v>2349.4437440231773</v>
      </c>
      <c r="T53" s="67">
        <f t="shared" si="55"/>
        <v>2589.8184112454924</v>
      </c>
      <c r="U53" s="67">
        <f t="shared" si="55"/>
        <v>5709572.2511242768</v>
      </c>
      <c r="V53" s="4"/>
      <c r="W53" s="4"/>
      <c r="X53" s="4"/>
      <c r="Y53" s="4"/>
      <c r="Z53" s="4"/>
      <c r="AA53" s="4"/>
      <c r="AB53" s="4"/>
      <c r="AC53" s="4"/>
      <c r="AD53" s="82" t="s">
        <v>14</v>
      </c>
      <c r="AE53" s="66">
        <f>SUM(AE45:AE52)</f>
        <v>161101340.19364962</v>
      </c>
      <c r="AF53" s="67">
        <f t="shared" ref="AF53:AI53" si="56">SUM(AF45:AF52)</f>
        <v>3352259270.157227</v>
      </c>
      <c r="AG53" s="67">
        <f t="shared" si="56"/>
        <v>3352.2592701572271</v>
      </c>
      <c r="AH53" s="67">
        <f t="shared" si="56"/>
        <v>3695.2333075466568</v>
      </c>
      <c r="AI53" s="67">
        <f t="shared" si="56"/>
        <v>8146594.9359947769</v>
      </c>
      <c r="AJ53" s="4"/>
      <c r="AK53" s="4"/>
      <c r="AL53" s="4"/>
      <c r="AM53" s="4"/>
      <c r="AN53" s="4"/>
      <c r="AO53" s="4"/>
      <c r="AP53" s="13"/>
    </row>
    <row r="54" spans="1:42">
      <c r="A54" s="76" t="s">
        <v>96</v>
      </c>
      <c r="P54" s="11"/>
      <c r="Q54" s="66"/>
      <c r="R54" s="66"/>
      <c r="S54" s="66"/>
      <c r="T54" s="4"/>
      <c r="U54" s="4"/>
      <c r="V54" s="4"/>
      <c r="W54" s="4"/>
      <c r="X54" s="4"/>
      <c r="Y54" s="4"/>
      <c r="Z54" s="4"/>
      <c r="AA54" s="66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13"/>
    </row>
    <row r="55" spans="1:42">
      <c r="A55" s="75" t="s">
        <v>112</v>
      </c>
      <c r="P55" s="11"/>
      <c r="Q55" s="72" t="s">
        <v>124</v>
      </c>
      <c r="R55" s="66"/>
      <c r="S55" s="66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13"/>
    </row>
    <row r="56" spans="1:42">
      <c r="P56" s="11"/>
      <c r="Q56" s="77" t="s">
        <v>123</v>
      </c>
      <c r="R56" s="66"/>
      <c r="S56" s="66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13"/>
    </row>
    <row r="57" spans="1:42" ht="63">
      <c r="A57" s="55" t="s">
        <v>93</v>
      </c>
      <c r="B57" s="3" t="s">
        <v>15</v>
      </c>
      <c r="C57" s="3" t="s">
        <v>20</v>
      </c>
      <c r="D57" s="3" t="s">
        <v>12</v>
      </c>
      <c r="E57" s="3" t="s">
        <v>19</v>
      </c>
      <c r="F57" s="3" t="s">
        <v>21</v>
      </c>
      <c r="H57" s="55" t="s">
        <v>95</v>
      </c>
      <c r="I57" s="3" t="s">
        <v>15</v>
      </c>
      <c r="J57" s="3" t="s">
        <v>20</v>
      </c>
      <c r="K57" s="3" t="s">
        <v>12</v>
      </c>
      <c r="L57" s="3" t="s">
        <v>19</v>
      </c>
      <c r="M57" s="3" t="s">
        <v>21</v>
      </c>
      <c r="P57" s="74" t="s">
        <v>122</v>
      </c>
      <c r="Q57" s="68" t="s">
        <v>15</v>
      </c>
      <c r="R57" s="68" t="s">
        <v>20</v>
      </c>
      <c r="S57" s="68" t="s">
        <v>12</v>
      </c>
      <c r="T57" s="68" t="s">
        <v>19</v>
      </c>
      <c r="U57" s="68" t="s">
        <v>21</v>
      </c>
      <c r="V57" s="4"/>
      <c r="W57" s="81" t="s">
        <v>126</v>
      </c>
      <c r="X57" s="68" t="s">
        <v>15</v>
      </c>
      <c r="Y57" s="68" t="s">
        <v>20</v>
      </c>
      <c r="Z57" s="68" t="s">
        <v>12</v>
      </c>
      <c r="AA57" s="68" t="s">
        <v>19</v>
      </c>
      <c r="AB57" s="68" t="s">
        <v>21</v>
      </c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13"/>
    </row>
    <row r="58" spans="1:42">
      <c r="A58" s="1" t="s">
        <v>7</v>
      </c>
      <c r="B58" s="30">
        <v>0</v>
      </c>
      <c r="C58" s="30">
        <f>B58*E3</f>
        <v>0</v>
      </c>
      <c r="D58" s="30">
        <f>C58/1000000</f>
        <v>0</v>
      </c>
      <c r="E58" s="30">
        <f>D58*1.10231131</f>
        <v>0</v>
      </c>
      <c r="F58" s="30">
        <f>E58*2204.62262</f>
        <v>0</v>
      </c>
      <c r="H58" s="1" t="s">
        <v>0</v>
      </c>
      <c r="I58" s="56">
        <f>B59+B65</f>
        <v>5956726.1884113699</v>
      </c>
      <c r="J58" s="30">
        <f>I58*B3</f>
        <v>71546238.249008954</v>
      </c>
      <c r="K58" s="30">
        <f>J58/1000000</f>
        <v>71.546238249008951</v>
      </c>
      <c r="L58" s="30">
        <f>K58*1.10231131</f>
        <v>78.866227609837154</v>
      </c>
      <c r="M58" s="30">
        <f>K58*2204.62262</f>
        <v>157732.45521967433</v>
      </c>
      <c r="P58" s="65" t="s">
        <v>7</v>
      </c>
      <c r="Q58" s="66">
        <v>0</v>
      </c>
      <c r="R58" s="66">
        <f>Q58*E3</f>
        <v>0</v>
      </c>
      <c r="S58" s="66">
        <f>R58/1000000</f>
        <v>0</v>
      </c>
      <c r="T58" s="66">
        <f>S58*1.10231131</f>
        <v>0</v>
      </c>
      <c r="U58" s="66">
        <f>T58*2204.62262</f>
        <v>0</v>
      </c>
      <c r="V58" s="4"/>
      <c r="W58" s="16" t="s">
        <v>0</v>
      </c>
      <c r="X58" s="66">
        <f>Q58+Q59+Q60+Q65</f>
        <v>107798565.06107061</v>
      </c>
      <c r="Y58" s="4">
        <f>X58*B3</f>
        <v>1294768564.948519</v>
      </c>
      <c r="Z58" s="4">
        <f>Y58/1000000</f>
        <v>1294.768564948519</v>
      </c>
      <c r="AA58" s="4">
        <f>Z58*1.10231131</f>
        <v>1427.238032975222</v>
      </c>
      <c r="AB58" s="4">
        <f>AA58*2204.62262</f>
        <v>3146521.2516214806</v>
      </c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13"/>
    </row>
    <row r="59" spans="1:42">
      <c r="A59" s="1" t="s">
        <v>72</v>
      </c>
      <c r="B59" s="30">
        <f>0.9*B25</f>
        <v>5691962.0968502155</v>
      </c>
      <c r="C59" s="30">
        <f t="shared" ref="C59:C65" si="57">B59*E4</f>
        <v>250497559.92028114</v>
      </c>
      <c r="D59" s="30">
        <f t="shared" ref="D59:D65" si="58">C59/1000000</f>
        <v>250.49755992028113</v>
      </c>
      <c r="E59" s="30">
        <f>D59*1.10231131</f>
        <v>276.12629342752859</v>
      </c>
      <c r="F59" s="30">
        <f t="shared" ref="F59:F65" si="59">E59*2204.62262</f>
        <v>608754.27246708691</v>
      </c>
      <c r="H59" s="1" t="s">
        <v>2</v>
      </c>
      <c r="I59" s="30">
        <f>(2*B63)+(2*B64)+(2*B61)+(4*B60)</f>
        <v>28962549.879640169</v>
      </c>
      <c r="J59" s="30">
        <f t="shared" ref="J59:J62" si="60">I59*B4</f>
        <v>29191354.023689326</v>
      </c>
      <c r="K59" s="30">
        <f t="shared" ref="K59:K62" si="61">J59/1000000</f>
        <v>29.191354023689325</v>
      </c>
      <c r="L59" s="30">
        <f t="shared" ref="L59:L62" si="62">K59*1.10231131</f>
        <v>32.177959694526749</v>
      </c>
      <c r="M59" s="30">
        <f t="shared" ref="M59:M62" si="63">K59*2204.62262</f>
        <v>64355.919389053503</v>
      </c>
      <c r="P59" s="65" t="s">
        <v>8</v>
      </c>
      <c r="Q59" s="66">
        <f>(B46-Q46)+(B45-Q45)</f>
        <v>107690480.73380664</v>
      </c>
      <c r="R59" s="66">
        <f t="shared" ref="R59:R65" si="64">Q59*E4</f>
        <v>4739350366.6140966</v>
      </c>
      <c r="S59" s="66">
        <f t="shared" ref="S59:S65" si="65">R59/1000000</f>
        <v>4739.3503666140969</v>
      </c>
      <c r="T59" s="66">
        <f t="shared" ref="T59:T65" si="66">S59*1.10231131</f>
        <v>5224.2395111713649</v>
      </c>
      <c r="U59" s="66">
        <f t="shared" ref="U59:U65" si="67">T59*2204.62262</f>
        <v>11517476.598626135</v>
      </c>
      <c r="V59" s="4"/>
      <c r="W59" s="16" t="s">
        <v>2</v>
      </c>
      <c r="X59" s="4">
        <f>(4*Q60)+(2*Q61)+(2*Q64)+(2*Q63)</f>
        <v>304653190.32479298</v>
      </c>
      <c r="Y59" s="4">
        <f t="shared" ref="Y59:Y62" si="68">X59*B4</f>
        <v>307059950.52835888</v>
      </c>
      <c r="Z59" s="4">
        <f t="shared" ref="Z59:Z62" si="69">Y59/1000000</f>
        <v>307.05995052835885</v>
      </c>
      <c r="AA59" s="4">
        <f t="shared" ref="AA59:AA62" si="70">Z59*1.10231131</f>
        <v>338.47565631545041</v>
      </c>
      <c r="AB59" s="4">
        <f t="shared" ref="AB59:AB62" si="71">AA59*2204.62262</f>
        <v>746211.08823238791</v>
      </c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13"/>
    </row>
    <row r="60" spans="1:42">
      <c r="A60" s="1" t="s">
        <v>9</v>
      </c>
      <c r="B60" s="30">
        <v>0</v>
      </c>
      <c r="C60" s="30">
        <f t="shared" si="57"/>
        <v>0</v>
      </c>
      <c r="D60" s="30">
        <f t="shared" si="58"/>
        <v>0</v>
      </c>
      <c r="E60" s="30">
        <f t="shared" ref="E60:E65" si="72">D60*1.10231131</f>
        <v>0</v>
      </c>
      <c r="F60" s="30">
        <f t="shared" si="59"/>
        <v>0</v>
      </c>
      <c r="H60" s="1" t="s">
        <v>3</v>
      </c>
      <c r="I60" s="30">
        <f>B58+(2*B59)+(B63)+B65</f>
        <v>21033285.290821083</v>
      </c>
      <c r="J60" s="30">
        <f t="shared" si="60"/>
        <v>336511531.36784649</v>
      </c>
      <c r="K60" s="30">
        <f t="shared" si="61"/>
        <v>336.51153136784649</v>
      </c>
      <c r="L60" s="30">
        <f t="shared" si="62"/>
        <v>370.94046697219693</v>
      </c>
      <c r="M60" s="30">
        <f t="shared" si="63"/>
        <v>741880.933944394</v>
      </c>
      <c r="P60" s="65" t="s">
        <v>9</v>
      </c>
      <c r="Q60" s="66">
        <f>Q47</f>
        <v>108084.32726396773</v>
      </c>
      <c r="R60" s="66">
        <f t="shared" si="64"/>
        <v>1733953.6285649287</v>
      </c>
      <c r="S60" s="66">
        <f t="shared" si="65"/>
        <v>1.7339536285649286</v>
      </c>
      <c r="T60" s="66">
        <f t="shared" si="66"/>
        <v>1.9113566957826598</v>
      </c>
      <c r="U60" s="66">
        <f t="shared" si="67"/>
        <v>4213.8202064109109</v>
      </c>
      <c r="V60" s="4"/>
      <c r="W60" s="16" t="s">
        <v>3</v>
      </c>
      <c r="X60" s="4">
        <f>Q58+(2*Q59)+Q630+Q65</f>
        <v>215380961.46761328</v>
      </c>
      <c r="Y60" s="4">
        <f t="shared" si="68"/>
        <v>3445880002.5203452</v>
      </c>
      <c r="Z60" s="4">
        <f t="shared" si="69"/>
        <v>3445.880002520345</v>
      </c>
      <c r="AA60" s="4">
        <f t="shared" si="70"/>
        <v>3798.4324996810046</v>
      </c>
      <c r="AB60" s="4">
        <f t="shared" si="71"/>
        <v>8374110.209339886</v>
      </c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13"/>
    </row>
    <row r="61" spans="1:42">
      <c r="A61" s="1" t="s">
        <v>10</v>
      </c>
      <c r="B61" s="30">
        <v>0</v>
      </c>
      <c r="C61" s="30">
        <f t="shared" si="57"/>
        <v>0</v>
      </c>
      <c r="D61" s="30">
        <f t="shared" si="58"/>
        <v>0</v>
      </c>
      <c r="E61" s="30">
        <f t="shared" si="72"/>
        <v>0</v>
      </c>
      <c r="F61" s="30">
        <f t="shared" si="59"/>
        <v>0</v>
      </c>
      <c r="H61" s="1" t="s">
        <v>4</v>
      </c>
      <c r="I61" s="30">
        <f>2*B62</f>
        <v>0</v>
      </c>
      <c r="J61" s="30">
        <f t="shared" si="60"/>
        <v>0</v>
      </c>
      <c r="K61" s="30">
        <f t="shared" si="61"/>
        <v>0</v>
      </c>
      <c r="L61" s="30">
        <f t="shared" si="62"/>
        <v>0</v>
      </c>
      <c r="M61" s="30">
        <f t="shared" si="63"/>
        <v>0</v>
      </c>
      <c r="P61" s="65" t="s">
        <v>10</v>
      </c>
      <c r="Q61" s="66">
        <f>(B48-Q48)+Q70</f>
        <v>152110426.50786856</v>
      </c>
      <c r="R61" s="66">
        <f t="shared" si="64"/>
        <v>306624197.75456142</v>
      </c>
      <c r="S61" s="66">
        <f t="shared" si="65"/>
        <v>306.62419775456141</v>
      </c>
      <c r="T61" s="66">
        <f t="shared" si="66"/>
        <v>337.99532110452964</v>
      </c>
      <c r="U61" s="66">
        <f t="shared" si="67"/>
        <v>745152.13036120951</v>
      </c>
      <c r="V61" s="4"/>
      <c r="W61" s="16" t="s">
        <v>4</v>
      </c>
      <c r="X61" s="4">
        <f>2*Q62</f>
        <v>11865257.259644456</v>
      </c>
      <c r="Y61" s="4">
        <f t="shared" si="68"/>
        <v>166196658.43583989</v>
      </c>
      <c r="Z61" s="4">
        <f t="shared" si="69"/>
        <v>166.19665843583988</v>
      </c>
      <c r="AA61" s="4">
        <f t="shared" si="70"/>
        <v>183.20045627803319</v>
      </c>
      <c r="AB61" s="4">
        <f t="shared" si="71"/>
        <v>403887.86990487296</v>
      </c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13"/>
    </row>
    <row r="62" spans="1:42">
      <c r="A62" s="1" t="s">
        <v>11</v>
      </c>
      <c r="B62" s="30">
        <v>0</v>
      </c>
      <c r="C62" s="30">
        <f t="shared" si="57"/>
        <v>0</v>
      </c>
      <c r="D62" s="30">
        <f t="shared" si="58"/>
        <v>0</v>
      </c>
      <c r="E62" s="30">
        <f t="shared" si="72"/>
        <v>0</v>
      </c>
      <c r="F62" s="30">
        <f t="shared" si="59"/>
        <v>0</v>
      </c>
      <c r="H62" s="1" t="s">
        <v>5</v>
      </c>
      <c r="I62" s="30">
        <f>B64+B65</f>
        <v>5361442.0258217426</v>
      </c>
      <c r="J62" s="30">
        <f t="shared" si="60"/>
        <v>171920000</v>
      </c>
      <c r="K62" s="30">
        <f t="shared" si="61"/>
        <v>171.92</v>
      </c>
      <c r="L62" s="30">
        <f t="shared" si="62"/>
        <v>189.50936041519998</v>
      </c>
      <c r="M62" s="30">
        <f t="shared" si="63"/>
        <v>379018.72083040001</v>
      </c>
      <c r="P62" s="65" t="s">
        <v>11</v>
      </c>
      <c r="Q62" s="66">
        <f>Q49</f>
        <v>5932628.6298222281</v>
      </c>
      <c r="R62" s="66">
        <f t="shared" si="64"/>
        <v>166196658.43583989</v>
      </c>
      <c r="S62" s="66">
        <f t="shared" si="65"/>
        <v>166.19665843583988</v>
      </c>
      <c r="T62" s="66">
        <f t="shared" si="66"/>
        <v>183.20045627803319</v>
      </c>
      <c r="U62" s="66">
        <f t="shared" si="67"/>
        <v>403887.86990487296</v>
      </c>
      <c r="V62" s="4"/>
      <c r="W62" s="16" t="s">
        <v>5</v>
      </c>
      <c r="X62" s="66">
        <f>Q64+Q65</f>
        <v>0</v>
      </c>
      <c r="Y62" s="4">
        <f t="shared" si="68"/>
        <v>0</v>
      </c>
      <c r="Z62" s="4">
        <f t="shared" si="69"/>
        <v>0</v>
      </c>
      <c r="AA62" s="4">
        <f t="shared" si="70"/>
        <v>0</v>
      </c>
      <c r="AB62" s="4">
        <f t="shared" si="71"/>
        <v>0</v>
      </c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13"/>
    </row>
    <row r="63" spans="1:42">
      <c r="A63" s="1" t="s">
        <v>22</v>
      </c>
      <c r="B63" s="30">
        <f>B29</f>
        <v>9384597.0055594966</v>
      </c>
      <c r="C63" s="30">
        <f t="shared" si="57"/>
        <v>169061638.13575321</v>
      </c>
      <c r="D63" s="30">
        <f t="shared" si="58"/>
        <v>169.06163813575321</v>
      </c>
      <c r="E63" s="30">
        <f t="shared" si="72"/>
        <v>186.35855580416808</v>
      </c>
      <c r="F63" s="30">
        <f t="shared" si="59"/>
        <v>410850.28755640128</v>
      </c>
      <c r="H63" s="1" t="s">
        <v>14</v>
      </c>
      <c r="I63" s="30">
        <f>SUM(I58:I62)</f>
        <v>61314003.384694368</v>
      </c>
      <c r="J63" s="30">
        <f>SUM(J58:J62)</f>
        <v>609169123.64054477</v>
      </c>
      <c r="K63" s="30">
        <f>SUM(K58:K62)</f>
        <v>609.16912364054474</v>
      </c>
      <c r="L63" s="30">
        <f>SUM(L58:L62)</f>
        <v>671.49401469176087</v>
      </c>
      <c r="M63" s="30">
        <f>SUM(M58:M62)</f>
        <v>1342988.029383522</v>
      </c>
      <c r="P63" s="65" t="s">
        <v>22</v>
      </c>
      <c r="Q63" s="66">
        <v>0</v>
      </c>
      <c r="R63" s="66">
        <f t="shared" si="64"/>
        <v>0</v>
      </c>
      <c r="S63" s="66">
        <f t="shared" si="65"/>
        <v>0</v>
      </c>
      <c r="T63" s="66">
        <f t="shared" si="66"/>
        <v>0</v>
      </c>
      <c r="U63" s="66">
        <f t="shared" si="67"/>
        <v>0</v>
      </c>
      <c r="V63" s="4"/>
      <c r="W63" s="16" t="s">
        <v>14</v>
      </c>
      <c r="X63" s="66">
        <f>SUM(X58:X62)</f>
        <v>639697974.11312139</v>
      </c>
      <c r="Y63" s="66">
        <f t="shared" ref="Y63:AB63" si="73">SUM(Y58:Y62)</f>
        <v>5213905176.4330626</v>
      </c>
      <c r="Z63" s="66">
        <f t="shared" si="73"/>
        <v>5213.9051764330625</v>
      </c>
      <c r="AA63" s="66">
        <f t="shared" si="73"/>
        <v>5747.3466452497105</v>
      </c>
      <c r="AB63" s="66">
        <f t="shared" si="73"/>
        <v>12670730.419098627</v>
      </c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13"/>
    </row>
    <row r="64" spans="1:42">
      <c r="A64" s="1" t="s">
        <v>23</v>
      </c>
      <c r="B64" s="30">
        <f>B30</f>
        <v>5096677.9342605881</v>
      </c>
      <c r="C64" s="30">
        <f t="shared" si="57"/>
        <v>173703958.01988253</v>
      </c>
      <c r="D64" s="30">
        <f t="shared" si="58"/>
        <v>173.70395801988252</v>
      </c>
      <c r="E64" s="30">
        <f t="shared" si="72"/>
        <v>191.47583751708169</v>
      </c>
      <c r="F64" s="30">
        <f>E64*2204.62262</f>
        <v>422131.96257360291</v>
      </c>
      <c r="P64" s="65" t="s">
        <v>23</v>
      </c>
      <c r="Q64" s="66">
        <v>0</v>
      </c>
      <c r="R64" s="66">
        <f t="shared" si="64"/>
        <v>0</v>
      </c>
      <c r="S64" s="66">
        <f t="shared" si="65"/>
        <v>0</v>
      </c>
      <c r="T64" s="66">
        <f t="shared" si="66"/>
        <v>0</v>
      </c>
      <c r="U64" s="66">
        <f t="shared" si="67"/>
        <v>0</v>
      </c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13"/>
    </row>
    <row r="65" spans="1:42">
      <c r="A65" s="1" t="s">
        <v>24</v>
      </c>
      <c r="B65" s="30">
        <f>B31</f>
        <v>264764.09156115487</v>
      </c>
      <c r="C65" s="30">
        <f t="shared" si="57"/>
        <v>15905967.56462794</v>
      </c>
      <c r="D65" s="30">
        <f t="shared" si="58"/>
        <v>15.905967564627939</v>
      </c>
      <c r="E65" s="30">
        <f t="shared" si="72"/>
        <v>17.533327942982531</v>
      </c>
      <c r="F65" s="30">
        <f t="shared" si="59"/>
        <v>38654.371386977356</v>
      </c>
      <c r="P65" s="65" t="s">
        <v>24</v>
      </c>
      <c r="Q65" s="66">
        <v>0</v>
      </c>
      <c r="R65" s="66">
        <f t="shared" si="64"/>
        <v>0</v>
      </c>
      <c r="S65" s="66">
        <f t="shared" si="65"/>
        <v>0</v>
      </c>
      <c r="T65" s="66">
        <f t="shared" si="66"/>
        <v>0</v>
      </c>
      <c r="U65" s="66">
        <f t="shared" si="67"/>
        <v>0</v>
      </c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13"/>
    </row>
    <row r="66" spans="1:42">
      <c r="A66" s="1" t="s">
        <v>14</v>
      </c>
      <c r="B66" s="30">
        <f>SUM(B58:B65)</f>
        <v>20438001.128231455</v>
      </c>
      <c r="C66" s="30">
        <f>SUM(C58:C65)</f>
        <v>609169123.64054477</v>
      </c>
      <c r="D66" s="30">
        <f>SUM(D58:D65)</f>
        <v>609.16912364054485</v>
      </c>
      <c r="E66" s="30">
        <f>SUM(E58:E65)</f>
        <v>671.49401469176087</v>
      </c>
      <c r="F66" s="30">
        <f>SUM(F58:F65)</f>
        <v>1480390.8939840687</v>
      </c>
      <c r="P66" s="70" t="s">
        <v>14</v>
      </c>
      <c r="Q66" s="71">
        <f>SUM(Q58:Q65)</f>
        <v>265841620.19876137</v>
      </c>
      <c r="R66" s="71">
        <f>SUM(R58:R65)</f>
        <v>5213905176.4330626</v>
      </c>
      <c r="S66" s="71">
        <f>SUM(S58:S65)</f>
        <v>5213.9051764330634</v>
      </c>
      <c r="T66" s="71">
        <f>SUM(T58:T65)</f>
        <v>5747.3466452497105</v>
      </c>
      <c r="U66" s="71">
        <f>SUM(U58:U65)</f>
        <v>12670730.419098627</v>
      </c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4"/>
    </row>
    <row r="67" spans="1:42">
      <c r="G67" s="30"/>
    </row>
    <row r="68" spans="1:42">
      <c r="A68" s="76" t="s">
        <v>104</v>
      </c>
      <c r="B68" s="76"/>
      <c r="C68" s="76">
        <v>0.58794000000000002</v>
      </c>
      <c r="D68" s="76" t="s">
        <v>108</v>
      </c>
      <c r="E68" s="76"/>
      <c r="F68" s="76"/>
    </row>
    <row r="69" spans="1:42" ht="63">
      <c r="A69" s="55" t="s">
        <v>97</v>
      </c>
      <c r="B69" s="3" t="s">
        <v>15</v>
      </c>
      <c r="C69" s="3" t="s">
        <v>20</v>
      </c>
      <c r="D69" s="3" t="s">
        <v>12</v>
      </c>
      <c r="E69" s="3" t="s">
        <v>19</v>
      </c>
      <c r="F69" s="3" t="s">
        <v>21</v>
      </c>
      <c r="H69" s="55" t="s">
        <v>98</v>
      </c>
      <c r="I69" s="3" t="s">
        <v>15</v>
      </c>
      <c r="J69" s="3" t="s">
        <v>20</v>
      </c>
      <c r="K69" s="3" t="s">
        <v>12</v>
      </c>
      <c r="L69" s="3" t="s">
        <v>19</v>
      </c>
      <c r="M69" s="3" t="s">
        <v>21</v>
      </c>
      <c r="N69" s="3"/>
      <c r="P69" s="55" t="s">
        <v>125</v>
      </c>
      <c r="Q69" s="3" t="s">
        <v>15</v>
      </c>
      <c r="R69" s="3" t="s">
        <v>20</v>
      </c>
      <c r="S69" s="3" t="s">
        <v>12</v>
      </c>
      <c r="T69" s="3" t="s">
        <v>19</v>
      </c>
      <c r="U69" s="3" t="s">
        <v>21</v>
      </c>
      <c r="W69" s="55" t="s">
        <v>63</v>
      </c>
      <c r="X69" s="3" t="s">
        <v>57</v>
      </c>
      <c r="Y69" s="3" t="s">
        <v>20</v>
      </c>
      <c r="Z69" s="3" t="s">
        <v>12</v>
      </c>
      <c r="AA69" s="3" t="s">
        <v>19</v>
      </c>
      <c r="AB69" s="3" t="s">
        <v>21</v>
      </c>
    </row>
    <row r="70" spans="1:42">
      <c r="A70" s="1" t="s">
        <v>7</v>
      </c>
      <c r="B70" s="30">
        <f>(1-C68)*B45</f>
        <v>75214682.406025574</v>
      </c>
      <c r="C70" s="30">
        <f>B70*E3</f>
        <v>2106763254.1927762</v>
      </c>
      <c r="D70" s="30">
        <f>C70/1000000</f>
        <v>2106.763254192776</v>
      </c>
      <c r="E70" s="30">
        <f>D70*1.10231131</f>
        <v>2322.3089625891016</v>
      </c>
      <c r="F70" s="30">
        <f>E70*2204.62262</f>
        <v>5119814.8695526673</v>
      </c>
      <c r="H70" s="1" t="s">
        <v>0</v>
      </c>
      <c r="I70" s="56">
        <f>B70+B71+B72+B77</f>
        <v>183428068.86301184</v>
      </c>
      <c r="J70" s="30">
        <f>I70*B3</f>
        <v>2203154535.1136351</v>
      </c>
      <c r="K70" s="30">
        <f>J70/1000000</f>
        <v>2203.1545351136351</v>
      </c>
      <c r="L70" s="30">
        <f>K70*1.10231131</f>
        <v>2428.5621617335519</v>
      </c>
      <c r="M70" s="30">
        <f>L70*2204.62262</f>
        <v>5354063.0758338869</v>
      </c>
      <c r="O70" s="1"/>
      <c r="P70" s="32" t="s">
        <v>22</v>
      </c>
      <c r="Q70" s="30">
        <f>B45-B70</f>
        <v>107318643.82322641</v>
      </c>
      <c r="R70">
        <f>Q70*E8</f>
        <v>1933323904.7466593</v>
      </c>
      <c r="S70">
        <f>R70/1000000</f>
        <v>1933.3239047466593</v>
      </c>
      <c r="T70">
        <f>S70*1.10231131</f>
        <v>2131.124806095605</v>
      </c>
      <c r="U70">
        <f>S70*2204.62262</f>
        <v>4262249.6121912105</v>
      </c>
      <c r="W70" s="1" t="s">
        <v>2</v>
      </c>
      <c r="X70" s="30">
        <f>2*Q70</f>
        <v>214637287.64645281</v>
      </c>
      <c r="Y70" s="30">
        <f>X70*B4</f>
        <v>216332922.21885979</v>
      </c>
      <c r="Z70" s="30">
        <f>Y70/1000000</f>
        <v>216.33292221885978</v>
      </c>
      <c r="AA70" s="30">
        <f>Z70*1.10231131</f>
        <v>238.46622688719941</v>
      </c>
      <c r="AB70" s="30">
        <f>AA70*2204.62262</f>
        <v>525728.03790157207</v>
      </c>
    </row>
    <row r="71" spans="1:42">
      <c r="A71" s="1" t="s">
        <v>8</v>
      </c>
      <c r="B71" s="30">
        <f>B46+(C68*B45)</f>
        <v>107951084.05620976</v>
      </c>
      <c r="C71" s="30">
        <f t="shared" ref="C71:C77" si="74">B71*E4</f>
        <v>4750819258.2297354</v>
      </c>
      <c r="D71" s="30">
        <f t="shared" ref="D71:D77" si="75">C71/1000000</f>
        <v>4750.8192582297352</v>
      </c>
      <c r="E71" s="30">
        <f t="shared" ref="E71:E77" si="76">D71*1.10231131</f>
        <v>5236.8818001124473</v>
      </c>
      <c r="F71" s="30">
        <f t="shared" ref="F71:F77" si="77">E71*2204.62262</f>
        <v>11545348.07479422</v>
      </c>
      <c r="H71" s="1" t="s">
        <v>2</v>
      </c>
      <c r="I71">
        <f>(4*B72)+(2*B73)+(2*B75)+(2*B76)</f>
        <v>368055047.38951242</v>
      </c>
      <c r="J71" s="30">
        <f t="shared" ref="J71:J74" si="78">I71*B4</f>
        <v>370962682.26388955</v>
      </c>
      <c r="K71" s="30">
        <f t="shared" ref="K71:K74" si="79">J71/1000000</f>
        <v>370.96268226388958</v>
      </c>
      <c r="L71" s="30">
        <f t="shared" ref="L71:L74" si="80">K71*1.10231131</f>
        <v>408.91636024742184</v>
      </c>
      <c r="M71" s="30">
        <f t="shared" ref="M71:M74" si="81">L71*2204.62262</f>
        <v>901506.25748953503</v>
      </c>
      <c r="O71" s="1"/>
      <c r="W71" s="1" t="s">
        <v>3</v>
      </c>
      <c r="X71" s="30">
        <f>Q70</f>
        <v>107318643.82322641</v>
      </c>
      <c r="Y71" s="30">
        <f>X71*B5</f>
        <v>1716990982.5277994</v>
      </c>
      <c r="Z71" s="30">
        <f>Y71/1000000</f>
        <v>1716.9909825277994</v>
      </c>
      <c r="AA71" s="30">
        <f>Z71*1.10231131</f>
        <v>1892.6585792084054</v>
      </c>
      <c r="AB71" s="30">
        <f>AA71*2204.62262</f>
        <v>4172597.9156599124</v>
      </c>
    </row>
    <row r="72" spans="1:42">
      <c r="A72" s="1" t="s">
        <v>9</v>
      </c>
      <c r="B72" s="30">
        <f>B47</f>
        <v>262302.40077650762</v>
      </c>
      <c r="C72" s="30">
        <f t="shared" si="74"/>
        <v>4208012.4946972011</v>
      </c>
      <c r="D72" s="30">
        <f t="shared" si="75"/>
        <v>4.2080124946972006</v>
      </c>
      <c r="E72" s="30">
        <f t="shared" si="76"/>
        <v>4.6385397655260387</v>
      </c>
      <c r="F72" s="30">
        <f t="shared" si="77"/>
        <v>10226.229690848202</v>
      </c>
      <c r="H72" s="1" t="s">
        <v>3</v>
      </c>
      <c r="I72">
        <f>B70+(2*B71)+(B75)+(B77)</f>
        <v>291116850.51844507</v>
      </c>
      <c r="J72" s="30">
        <f t="shared" si="78"/>
        <v>4657578491.444603</v>
      </c>
      <c r="K72" s="30">
        <f t="shared" si="79"/>
        <v>4657.5784914446031</v>
      </c>
      <c r="L72" s="30">
        <f t="shared" si="80"/>
        <v>5134.1014483321242</v>
      </c>
      <c r="M72" s="30">
        <f t="shared" si="81"/>
        <v>11318756.186367763</v>
      </c>
      <c r="O72" s="1"/>
      <c r="W72" s="1" t="s">
        <v>14</v>
      </c>
      <c r="X72" s="30">
        <f>SUM(X70:X71)</f>
        <v>321955931.46967924</v>
      </c>
      <c r="Y72" s="30">
        <f>SUM(Y70:Y71)</f>
        <v>1933323904.7466593</v>
      </c>
      <c r="Z72" s="30">
        <f>SUM(Z70:Z71)</f>
        <v>1933.3239047466591</v>
      </c>
      <c r="AA72" s="30">
        <f t="shared" ref="AA72:AB72" si="82">SUM(AA70:AA71)</f>
        <v>2131.124806095605</v>
      </c>
      <c r="AB72" s="30">
        <f t="shared" si="82"/>
        <v>4698325.9535614848</v>
      </c>
    </row>
    <row r="73" spans="1:42">
      <c r="A73" s="1" t="s">
        <v>10</v>
      </c>
      <c r="B73" s="30">
        <f>(C68*B45)+B48</f>
        <v>183502918.8932032</v>
      </c>
      <c r="C73" s="30">
        <f t="shared" si="74"/>
        <v>369905183.90491903</v>
      </c>
      <c r="D73" s="30">
        <f t="shared" si="75"/>
        <v>369.90518390491906</v>
      </c>
      <c r="E73" s="30">
        <f t="shared" si="76"/>
        <v>407.75066784602222</v>
      </c>
      <c r="F73" s="30">
        <f t="shared" si="77"/>
        <v>898936.34565344732</v>
      </c>
      <c r="H73" s="1" t="s">
        <v>4</v>
      </c>
      <c r="I73" s="60">
        <f>2*B74</f>
        <v>28794974.663021058</v>
      </c>
      <c r="J73" s="30">
        <f t="shared" si="78"/>
        <v>403331210.10493594</v>
      </c>
      <c r="K73" s="30">
        <f t="shared" si="79"/>
        <v>403.33121010493596</v>
      </c>
      <c r="L73" s="30">
        <f t="shared" si="80"/>
        <v>444.59655457465715</v>
      </c>
      <c r="M73" s="30">
        <f t="shared" si="81"/>
        <v>980167.62098935363</v>
      </c>
      <c r="O73" s="1"/>
    </row>
    <row r="74" spans="1:42">
      <c r="A74" s="1" t="s">
        <v>11</v>
      </c>
      <c r="B74" s="30">
        <f>B49</f>
        <v>14397487.331510529</v>
      </c>
      <c r="C74" s="30">
        <f t="shared" si="74"/>
        <v>403331210.10493594</v>
      </c>
      <c r="D74" s="30">
        <f t="shared" si="75"/>
        <v>403.33121010493596</v>
      </c>
      <c r="E74" s="30">
        <f t="shared" si="76"/>
        <v>444.59655457465715</v>
      </c>
      <c r="F74" s="30">
        <f t="shared" si="77"/>
        <v>980167.62098935363</v>
      </c>
      <c r="H74" s="1" t="s">
        <v>5</v>
      </c>
      <c r="I74">
        <f>B76+B77</f>
        <v>0</v>
      </c>
      <c r="J74" s="30">
        <f t="shared" si="78"/>
        <v>0</v>
      </c>
      <c r="K74" s="30">
        <f t="shared" si="79"/>
        <v>0</v>
      </c>
      <c r="L74" s="30">
        <f t="shared" si="80"/>
        <v>0</v>
      </c>
      <c r="M74" s="30">
        <f t="shared" si="81"/>
        <v>0</v>
      </c>
      <c r="O74" s="1"/>
    </row>
    <row r="75" spans="1:42">
      <c r="A75" s="1" t="s">
        <v>22</v>
      </c>
      <c r="B75" s="30">
        <v>0</v>
      </c>
      <c r="C75" s="30">
        <f t="shared" si="74"/>
        <v>0</v>
      </c>
      <c r="D75" s="30">
        <f t="shared" si="75"/>
        <v>0</v>
      </c>
      <c r="E75" s="30">
        <f t="shared" si="76"/>
        <v>0</v>
      </c>
      <c r="F75" s="30">
        <f t="shared" si="77"/>
        <v>0</v>
      </c>
      <c r="H75" s="1" t="s">
        <v>14</v>
      </c>
      <c r="I75" s="30">
        <f>SUM(I70:I74)</f>
        <v>871394941.43399048</v>
      </c>
      <c r="J75" s="30">
        <f>SUM(J70:J74)</f>
        <v>7635026918.927063</v>
      </c>
      <c r="K75" s="30">
        <f t="shared" ref="K75:M75" si="83">SUM(K70:K74)</f>
        <v>7635.0269189270639</v>
      </c>
      <c r="L75" s="30">
        <f>SUM(L70:L74)</f>
        <v>8416.1765248877546</v>
      </c>
      <c r="M75" s="30">
        <f t="shared" si="83"/>
        <v>18554493.140680537</v>
      </c>
      <c r="O75" s="1"/>
    </row>
    <row r="76" spans="1:42">
      <c r="A76" s="1" t="s">
        <v>23</v>
      </c>
      <c r="B76" s="30">
        <f>B51</f>
        <v>0</v>
      </c>
      <c r="C76" s="30">
        <f t="shared" si="74"/>
        <v>0</v>
      </c>
      <c r="D76" s="30">
        <f t="shared" si="75"/>
        <v>0</v>
      </c>
      <c r="E76" s="30">
        <f t="shared" si="76"/>
        <v>0</v>
      </c>
      <c r="F76" s="30">
        <f t="shared" si="77"/>
        <v>0</v>
      </c>
    </row>
    <row r="77" spans="1:42">
      <c r="A77" s="1" t="s">
        <v>24</v>
      </c>
      <c r="B77" s="30">
        <f>B52</f>
        <v>0</v>
      </c>
      <c r="C77" s="30">
        <f t="shared" si="74"/>
        <v>0</v>
      </c>
      <c r="D77" s="30">
        <f t="shared" si="75"/>
        <v>0</v>
      </c>
      <c r="E77" s="30">
        <f t="shared" si="76"/>
        <v>0</v>
      </c>
      <c r="F77" s="30">
        <f t="shared" si="77"/>
        <v>0</v>
      </c>
      <c r="Q77" s="30"/>
    </row>
    <row r="78" spans="1:42">
      <c r="A78" s="1" t="s">
        <v>14</v>
      </c>
      <c r="B78" s="30">
        <f>SUM(B70:B77)</f>
        <v>381328475.08772558</v>
      </c>
      <c r="C78" s="30">
        <f>SUM(C70:C77)</f>
        <v>7635026918.9270639</v>
      </c>
      <c r="D78" s="30">
        <f>SUM(D70:D77)</f>
        <v>7635.026918927063</v>
      </c>
      <c r="E78" s="30">
        <f>SUM(E70:E77)</f>
        <v>8416.1765248877546</v>
      </c>
      <c r="F78" s="30">
        <f>SUM(F70:F77)</f>
        <v>18554493.140680533</v>
      </c>
    </row>
    <row r="81" spans="1:16" ht="63">
      <c r="A81" s="114" t="s">
        <v>99</v>
      </c>
      <c r="B81" s="3" t="s">
        <v>15</v>
      </c>
      <c r="C81" s="3" t="s">
        <v>20</v>
      </c>
      <c r="D81" s="3" t="s">
        <v>12</v>
      </c>
      <c r="E81" s="3" t="s">
        <v>19</v>
      </c>
      <c r="F81" s="3" t="s">
        <v>21</v>
      </c>
      <c r="H81" s="114" t="s">
        <v>100</v>
      </c>
      <c r="I81" s="3" t="s">
        <v>15</v>
      </c>
      <c r="J81" s="3" t="s">
        <v>20</v>
      </c>
      <c r="K81" s="3" t="s">
        <v>12</v>
      </c>
      <c r="L81" s="3" t="s">
        <v>19</v>
      </c>
      <c r="M81" s="3" t="s">
        <v>21</v>
      </c>
      <c r="O81" s="3"/>
    </row>
    <row r="82" spans="1:16">
      <c r="A82" s="1" t="s">
        <v>7</v>
      </c>
      <c r="B82" s="30">
        <f>C82/E3</f>
        <v>195510932.62084752</v>
      </c>
      <c r="C82" s="30">
        <f>$C$78*R4</f>
        <v>5476261222.709939</v>
      </c>
      <c r="D82" s="30">
        <f>C82/1000000</f>
        <v>5476.2612227099389</v>
      </c>
      <c r="E82" s="30">
        <f>D82*1.10231131</f>
        <v>6036.5446823075945</v>
      </c>
      <c r="F82" s="30">
        <f>E82*2204.62262</f>
        <v>13308302.953256037</v>
      </c>
      <c r="H82" s="1" t="s">
        <v>0</v>
      </c>
      <c r="I82" s="30">
        <f>B82+B83+B84+B89</f>
        <v>221686660.49865663</v>
      </c>
      <c r="J82" s="30">
        <f>I82*B3</f>
        <v>2662678479.2493649</v>
      </c>
      <c r="K82" s="30">
        <f>J82/1000000</f>
        <v>2662.678479249365</v>
      </c>
      <c r="L82" s="30">
        <f>K82*1.10231131</f>
        <v>2935.1006025701749</v>
      </c>
      <c r="M82" s="30">
        <f>L82*2204.62262</f>
        <v>6470789.1804018384</v>
      </c>
      <c r="O82" s="1"/>
    </row>
    <row r="83" spans="1:16">
      <c r="A83" s="1" t="s">
        <v>8</v>
      </c>
      <c r="B83" s="30">
        <f>C83/E4</f>
        <v>24702027.380667027</v>
      </c>
      <c r="C83" s="30">
        <f t="shared" ref="C83:C89" si="84">$C$78*R5</f>
        <v>1087111522.9957752</v>
      </c>
      <c r="D83" s="30">
        <f t="shared" ref="D83:D89" si="85">C83/1000000</f>
        <v>1087.1115229957752</v>
      </c>
      <c r="E83" s="30">
        <f t="shared" ref="E83:E89" si="86">D83*1.10231131</f>
        <v>1198.3353270295679</v>
      </c>
      <c r="F83" s="30">
        <f t="shared" ref="F83:F89" si="87">E83*2204.62262</f>
        <v>2641877.168314483</v>
      </c>
      <c r="H83" s="1" t="s">
        <v>2</v>
      </c>
      <c r="I83" s="30">
        <f>(4*B84)+(2*B85)+(2*B87)+(2*B88)</f>
        <v>959870257.13853264</v>
      </c>
      <c r="J83" s="30">
        <f>I83*B4</f>
        <v>967453232.16992712</v>
      </c>
      <c r="K83" s="30">
        <f t="shared" ref="K83:K86" si="88">J83/1000000</f>
        <v>967.45323216992711</v>
      </c>
      <c r="L83" s="30">
        <f t="shared" ref="L83:L86" si="89">K83*1.10231131</f>
        <v>1066.4346397169663</v>
      </c>
      <c r="M83" s="30">
        <f t="shared" ref="M83:M86" si="90">L83*2204.62262</f>
        <v>2351085.9294715743</v>
      </c>
      <c r="O83" s="1"/>
    </row>
    <row r="84" spans="1:16">
      <c r="A84" s="1" t="s">
        <v>9</v>
      </c>
      <c r="B84" s="30">
        <f t="shared" ref="B84:B89" si="91">C84/E5</f>
        <v>1473700.4971420665</v>
      </c>
      <c r="C84" s="30">
        <f t="shared" si="84"/>
        <v>23641987.595451318</v>
      </c>
      <c r="D84" s="30">
        <f t="shared" si="85"/>
        <v>23.641987595451319</v>
      </c>
      <c r="E84" s="30">
        <f t="shared" si="86"/>
        <v>26.06083031734569</v>
      </c>
      <c r="F84" s="30">
        <f t="shared" si="87"/>
        <v>57454.296013602092</v>
      </c>
      <c r="H84" s="1" t="s">
        <v>3</v>
      </c>
      <c r="I84" s="30">
        <f>B82+(2*B83)+B87+B89</f>
        <v>244914987.38218158</v>
      </c>
      <c r="J84" s="30">
        <f t="shared" ref="J84:J86" si="92">I84*B5</f>
        <v>3918394883.1275234</v>
      </c>
      <c r="K84" s="30">
        <f t="shared" si="88"/>
        <v>3918.3948831275234</v>
      </c>
      <c r="L84" s="30">
        <f t="shared" si="89"/>
        <v>4319.2909967175965</v>
      </c>
      <c r="M84" s="30">
        <f t="shared" si="90"/>
        <v>9522406.6337259598</v>
      </c>
      <c r="O84" s="1"/>
    </row>
    <row r="85" spans="1:16">
      <c r="A85" s="1" t="s">
        <v>73</v>
      </c>
      <c r="B85" s="30">
        <f t="shared" si="91"/>
        <v>476987727.57498217</v>
      </c>
      <c r="C85" s="30">
        <f t="shared" si="84"/>
        <v>961511861.2456491</v>
      </c>
      <c r="D85" s="30">
        <f t="shared" si="85"/>
        <v>961.51186124564913</v>
      </c>
      <c r="E85" s="30">
        <f t="shared" si="86"/>
        <v>1059.8853993502296</v>
      </c>
      <c r="F85" s="30">
        <f t="shared" si="87"/>
        <v>2336647.3260152494</v>
      </c>
      <c r="H85" s="1" t="s">
        <v>4</v>
      </c>
      <c r="I85" s="30">
        <f>2*B86</f>
        <v>6175506.8451667549</v>
      </c>
      <c r="J85" s="30">
        <f t="shared" si="92"/>
        <v>86500324.380250737</v>
      </c>
      <c r="K85" s="30">
        <f t="shared" si="88"/>
        <v>86.500324380250731</v>
      </c>
      <c r="L85" s="30">
        <f t="shared" si="89"/>
        <v>95.350285883019112</v>
      </c>
      <c r="M85" s="30">
        <f t="shared" si="90"/>
        <v>210211.39708117061</v>
      </c>
      <c r="O85" s="1"/>
    </row>
    <row r="86" spans="1:16">
      <c r="A86" s="1" t="s">
        <v>11</v>
      </c>
      <c r="B86" s="30">
        <f t="shared" si="91"/>
        <v>3087753.4225833775</v>
      </c>
      <c r="C86" s="30">
        <f t="shared" si="84"/>
        <v>86500324.380250737</v>
      </c>
      <c r="D86" s="30">
        <f t="shared" si="85"/>
        <v>86.500324380250731</v>
      </c>
      <c r="E86" s="30">
        <f t="shared" si="86"/>
        <v>95.350285883019112</v>
      </c>
      <c r="F86" s="30">
        <f t="shared" si="87"/>
        <v>210211.39708117061</v>
      </c>
      <c r="H86" s="1" t="s">
        <v>5</v>
      </c>
      <c r="I86" s="30">
        <f>B88+B89</f>
        <v>0</v>
      </c>
      <c r="J86" s="30">
        <f t="shared" si="92"/>
        <v>0</v>
      </c>
      <c r="K86" s="30">
        <f t="shared" si="88"/>
        <v>0</v>
      </c>
      <c r="L86" s="30">
        <f t="shared" si="89"/>
        <v>0</v>
      </c>
      <c r="M86" s="30">
        <f t="shared" si="90"/>
        <v>0</v>
      </c>
      <c r="O86" s="1"/>
    </row>
    <row r="87" spans="1:16">
      <c r="A87" s="1" t="s">
        <v>22</v>
      </c>
      <c r="B87" s="30">
        <f t="shared" si="91"/>
        <v>0</v>
      </c>
      <c r="C87" s="30">
        <f t="shared" si="84"/>
        <v>0</v>
      </c>
      <c r="D87" s="30">
        <f t="shared" si="85"/>
        <v>0</v>
      </c>
      <c r="E87" s="30">
        <f t="shared" si="86"/>
        <v>0</v>
      </c>
      <c r="F87" s="30">
        <f t="shared" si="87"/>
        <v>0</v>
      </c>
      <c r="H87" s="1" t="s">
        <v>14</v>
      </c>
      <c r="I87" s="46">
        <f>I75</f>
        <v>871394941.43399048</v>
      </c>
      <c r="J87" s="46">
        <f>J75</f>
        <v>7635026918.927063</v>
      </c>
      <c r="K87" s="30">
        <f t="shared" ref="K87:M87" si="93">SUM(K82:K86)</f>
        <v>7635.0269189270657</v>
      </c>
      <c r="L87" s="30">
        <f t="shared" si="93"/>
        <v>8416.1765248877582</v>
      </c>
      <c r="M87" s="30">
        <f t="shared" si="93"/>
        <v>18554493.14068054</v>
      </c>
      <c r="O87" s="1"/>
    </row>
    <row r="88" spans="1:16">
      <c r="A88" s="1" t="s">
        <v>23</v>
      </c>
      <c r="B88" s="30">
        <f t="shared" si="91"/>
        <v>0</v>
      </c>
      <c r="C88" s="30">
        <f t="shared" si="84"/>
        <v>0</v>
      </c>
      <c r="D88" s="30">
        <f t="shared" si="85"/>
        <v>0</v>
      </c>
      <c r="E88" s="30">
        <f t="shared" si="86"/>
        <v>0</v>
      </c>
      <c r="F88" s="30">
        <f t="shared" si="87"/>
        <v>0</v>
      </c>
      <c r="O88" s="1"/>
    </row>
    <row r="89" spans="1:16">
      <c r="A89" s="1" t="s">
        <v>24</v>
      </c>
      <c r="B89" s="30">
        <f t="shared" si="91"/>
        <v>0</v>
      </c>
      <c r="C89" s="30">
        <f t="shared" si="84"/>
        <v>0</v>
      </c>
      <c r="D89" s="30">
        <f t="shared" si="85"/>
        <v>0</v>
      </c>
      <c r="E89" s="30">
        <f t="shared" si="86"/>
        <v>0</v>
      </c>
      <c r="F89" s="30">
        <f t="shared" si="87"/>
        <v>0</v>
      </c>
      <c r="I89" s="30"/>
      <c r="O89" s="1"/>
    </row>
    <row r="90" spans="1:16">
      <c r="A90" s="1" t="s">
        <v>14</v>
      </c>
      <c r="B90" s="30">
        <f>SUM(B82:B86)</f>
        <v>701762141.49622214</v>
      </c>
      <c r="C90" s="46">
        <f>SUM(C82:C86)</f>
        <v>7635026918.9270658</v>
      </c>
      <c r="D90" s="30">
        <f t="shared" ref="D90:F90" si="94">SUM(D82:D86)</f>
        <v>7635.0269189270657</v>
      </c>
      <c r="E90" s="30">
        <f t="shared" si="94"/>
        <v>8416.1765248877582</v>
      </c>
      <c r="F90" s="30">
        <f t="shared" si="94"/>
        <v>18554493.140680544</v>
      </c>
      <c r="O90" s="1"/>
      <c r="P90" s="30"/>
    </row>
    <row r="91" spans="1:16">
      <c r="O91" s="30"/>
      <c r="P91" s="30"/>
    </row>
    <row r="92" spans="1:16">
      <c r="O92" s="30"/>
      <c r="P92" s="30"/>
    </row>
    <row r="93" spans="1:16" ht="30">
      <c r="A93" s="38" t="s">
        <v>70</v>
      </c>
      <c r="O93" s="30"/>
      <c r="P93" s="30"/>
    </row>
    <row r="94" spans="1:16" ht="30">
      <c r="A94" s="38" t="s">
        <v>51</v>
      </c>
      <c r="B94" s="1" t="s">
        <v>50</v>
      </c>
      <c r="C94" s="1" t="s">
        <v>52</v>
      </c>
      <c r="D94" s="1" t="s">
        <v>53</v>
      </c>
      <c r="E94" s="57" t="s">
        <v>113</v>
      </c>
      <c r="F94" s="1" t="s">
        <v>55</v>
      </c>
      <c r="G94" s="57" t="s">
        <v>101</v>
      </c>
      <c r="H94" s="57" t="s">
        <v>156</v>
      </c>
      <c r="K94" s="1" t="s">
        <v>109</v>
      </c>
      <c r="L94" s="1"/>
      <c r="M94" s="1" t="s">
        <v>110</v>
      </c>
      <c r="O94" s="76" t="s">
        <v>119</v>
      </c>
      <c r="P94" s="30"/>
    </row>
    <row r="95" spans="1:16">
      <c r="A95" t="s">
        <v>0</v>
      </c>
      <c r="B95" s="30">
        <f>$B$100*Y16</f>
        <v>2571.0308994440002</v>
      </c>
      <c r="C95" s="30">
        <f>$C$100*AE16</f>
        <v>0</v>
      </c>
      <c r="D95" s="30">
        <f>$D$100*AB16</f>
        <v>0</v>
      </c>
      <c r="E95" s="46">
        <f>SUM(B95:D95)</f>
        <v>2571.0308994440002</v>
      </c>
      <c r="F95" s="46">
        <f>L24</f>
        <v>2571.0308994440002</v>
      </c>
      <c r="G95" s="30">
        <f>$G$100*AH16</f>
        <v>2428.5621617335519</v>
      </c>
      <c r="H95" s="30">
        <f>L82</f>
        <v>2935.1006025701749</v>
      </c>
      <c r="I95" s="79" t="s">
        <v>107</v>
      </c>
      <c r="K95" s="62">
        <f>B82/B85</f>
        <v>0.40988671472708554</v>
      </c>
      <c r="L95" s="62"/>
      <c r="M95" s="62">
        <f>B70/B73</f>
        <v>0.40988275750425385</v>
      </c>
      <c r="O95" s="30"/>
      <c r="P95" s="30"/>
    </row>
    <row r="96" spans="1:16">
      <c r="A96" t="s">
        <v>2</v>
      </c>
      <c r="B96" s="30">
        <f>$B$100*Y17</f>
        <v>123.45886672</v>
      </c>
      <c r="C96" s="30">
        <f>$C$100*AE17</f>
        <v>79.169226334749155</v>
      </c>
      <c r="D96" s="30">
        <f>$D$100*AB17</f>
        <v>0</v>
      </c>
      <c r="E96" s="30">
        <f t="shared" ref="E96:E99" si="95">SUM(B96:D96)</f>
        <v>202.62809305474917</v>
      </c>
      <c r="F96" s="46">
        <f>L25</f>
        <v>204.30980588685125</v>
      </c>
      <c r="G96" s="30">
        <f>$G$100*AH17</f>
        <v>408.91636024742184</v>
      </c>
      <c r="H96" s="30">
        <f t="shared" ref="H96:H99" si="96">L83</f>
        <v>1066.4346397169663</v>
      </c>
      <c r="I96" s="79" t="s">
        <v>105</v>
      </c>
    </row>
    <row r="97" spans="1:10">
      <c r="A97" t="s">
        <v>3</v>
      </c>
      <c r="B97" s="30">
        <f>$B$100*Y18</f>
        <v>137.03934205920001</v>
      </c>
      <c r="C97" s="30">
        <f>$C$100*AE18</f>
        <v>628.35025901857921</v>
      </c>
      <c r="D97" s="30">
        <f>$D$100*AB18</f>
        <v>2846.9937350181372</v>
      </c>
      <c r="E97" s="30">
        <f t="shared" si="95"/>
        <v>3612.3833360959161</v>
      </c>
      <c r="F97" s="46">
        <f t="shared" ref="F97:F99" si="97">L26</f>
        <v>3658.7565061777959</v>
      </c>
      <c r="G97" s="30">
        <f>$G$100*AH18</f>
        <v>5134.1014483321233</v>
      </c>
      <c r="H97" s="30">
        <f t="shared" si="96"/>
        <v>4319.2909967175965</v>
      </c>
      <c r="I97" s="79" t="s">
        <v>105</v>
      </c>
    </row>
    <row r="98" spans="1:10">
      <c r="A98" t="s">
        <v>4</v>
      </c>
      <c r="B98" s="30">
        <f>$B$100*Y19</f>
        <v>65.433199361600003</v>
      </c>
      <c r="C98" s="30">
        <f>$C$100*AE19</f>
        <v>0</v>
      </c>
      <c r="D98" s="30">
        <f>$D$100*AB19</f>
        <v>149.84177552727019</v>
      </c>
      <c r="E98" s="30">
        <f t="shared" si="95"/>
        <v>215.27497488887019</v>
      </c>
      <c r="F98" s="46">
        <f t="shared" si="97"/>
        <v>215.95977980456053</v>
      </c>
      <c r="G98" s="30">
        <f>$G$100*AH19</f>
        <v>444.59655457465709</v>
      </c>
      <c r="H98" s="30">
        <f t="shared" si="96"/>
        <v>95.350285883019112</v>
      </c>
      <c r="I98" s="79"/>
    </row>
    <row r="99" spans="1:10">
      <c r="A99" t="s">
        <v>5</v>
      </c>
      <c r="B99" s="30">
        <f>$B$100*Y20</f>
        <v>189.50936041520001</v>
      </c>
      <c r="C99" s="30">
        <f>$C$100*AE20</f>
        <v>0</v>
      </c>
      <c r="D99" s="30">
        <f>$D$100*AB20</f>
        <v>0</v>
      </c>
      <c r="E99" s="30">
        <f t="shared" si="95"/>
        <v>189.50936041520001</v>
      </c>
      <c r="F99" s="46">
        <f t="shared" si="97"/>
        <v>189.50936041519998</v>
      </c>
      <c r="G99">
        <f>$G$100*AH20</f>
        <v>0</v>
      </c>
      <c r="H99" s="30">
        <f t="shared" si="96"/>
        <v>0</v>
      </c>
      <c r="I99" s="79" t="s">
        <v>106</v>
      </c>
    </row>
    <row r="100" spans="1:10">
      <c r="A100" s="1" t="s">
        <v>71</v>
      </c>
      <c r="B100" s="30">
        <f>E20</f>
        <v>3086.4716680000001</v>
      </c>
      <c r="C100" s="30">
        <f>L37</f>
        <v>707.51948535332838</v>
      </c>
      <c r="D100" s="30">
        <f>E42</f>
        <v>2996.8355105454075</v>
      </c>
      <c r="E100" s="30">
        <f>SUM(B100:D100)</f>
        <v>6790.8266638987361</v>
      </c>
      <c r="F100" s="30">
        <f>E32</f>
        <v>6839.5663517284083</v>
      </c>
      <c r="G100" s="30">
        <f>L75</f>
        <v>8416.1765248877546</v>
      </c>
      <c r="I100" s="76"/>
    </row>
    <row r="102" spans="1:10">
      <c r="E102" s="43"/>
    </row>
    <row r="103" spans="1:10" ht="30">
      <c r="A103" s="38" t="s">
        <v>70</v>
      </c>
    </row>
    <row r="104" spans="1:10" ht="30">
      <c r="A104" s="38" t="s">
        <v>51</v>
      </c>
      <c r="B104" s="1" t="s">
        <v>50</v>
      </c>
      <c r="C104" s="1" t="s">
        <v>52</v>
      </c>
      <c r="D104" s="1" t="s">
        <v>53</v>
      </c>
      <c r="E104" s="57" t="s">
        <v>113</v>
      </c>
      <c r="F104" s="1" t="s">
        <v>55</v>
      </c>
      <c r="G104" s="57" t="s">
        <v>101</v>
      </c>
      <c r="H104" s="57" t="s">
        <v>156</v>
      </c>
    </row>
    <row r="105" spans="1:10">
      <c r="A105" s="1" t="s">
        <v>7</v>
      </c>
      <c r="B105" s="30"/>
      <c r="C105" s="30"/>
      <c r="D105" s="30"/>
      <c r="E105" s="46"/>
      <c r="F105" s="46">
        <f>E24</f>
        <v>5635.851484223419</v>
      </c>
      <c r="G105" s="30">
        <f>E70</f>
        <v>2322.3089625891016</v>
      </c>
      <c r="H105" s="30">
        <f>E82</f>
        <v>6036.5446823075945</v>
      </c>
    </row>
    <row r="106" spans="1:10">
      <c r="A106" s="1" t="s">
        <v>8</v>
      </c>
      <c r="B106" s="30"/>
      <c r="C106" s="30"/>
      <c r="D106" s="30"/>
      <c r="E106" s="30"/>
      <c r="F106" s="46">
        <f t="shared" ref="F106:F113" si="98">E25</f>
        <v>306.80699269725397</v>
      </c>
      <c r="G106" s="30">
        <f t="shared" ref="G106:G113" si="99">E71</f>
        <v>5236.8818001124473</v>
      </c>
      <c r="H106" s="30">
        <f t="shared" ref="H106:H113" si="100">E83</f>
        <v>1198.3353270295679</v>
      </c>
    </row>
    <row r="107" spans="1:10">
      <c r="A107" s="1" t="s">
        <v>9</v>
      </c>
      <c r="B107" s="30"/>
      <c r="C107" s="30"/>
      <c r="D107" s="30"/>
      <c r="E107" s="30"/>
      <c r="F107" s="46">
        <f t="shared" si="98"/>
        <v>4.6385397655260387</v>
      </c>
      <c r="G107" s="30">
        <f t="shared" si="99"/>
        <v>4.6385397655260387</v>
      </c>
      <c r="H107" s="30">
        <f t="shared" si="100"/>
        <v>26.06083031734569</v>
      </c>
      <c r="J107" s="30"/>
    </row>
    <row r="108" spans="1:10">
      <c r="A108" s="1" t="s">
        <v>10</v>
      </c>
      <c r="B108" s="30"/>
      <c r="C108" s="30"/>
      <c r="D108" s="30"/>
      <c r="E108" s="30"/>
      <c r="F108" s="46">
        <f t="shared" si="98"/>
        <v>169.2844409588227</v>
      </c>
      <c r="G108" s="30">
        <f t="shared" si="99"/>
        <v>407.75066784602222</v>
      </c>
      <c r="H108" s="30">
        <f t="shared" si="100"/>
        <v>1059.8853993502296</v>
      </c>
    </row>
    <row r="109" spans="1:10">
      <c r="A109" s="1" t="s">
        <v>11</v>
      </c>
      <c r="B109" s="30"/>
      <c r="C109" s="30"/>
      <c r="D109" s="30">
        <f>E41</f>
        <v>149.84177552727016</v>
      </c>
      <c r="E109" s="30"/>
      <c r="F109" s="46">
        <f t="shared" si="98"/>
        <v>444.59655457465715</v>
      </c>
      <c r="G109" s="30">
        <f t="shared" si="99"/>
        <v>444.59655457465715</v>
      </c>
      <c r="H109" s="30">
        <f t="shared" si="100"/>
        <v>95.350285883019112</v>
      </c>
    </row>
    <row r="110" spans="1:10">
      <c r="A110" s="1" t="s">
        <v>22</v>
      </c>
      <c r="B110" s="30"/>
      <c r="C110" s="30">
        <f>E35</f>
        <v>707.51948535332849</v>
      </c>
      <c r="D110" s="30"/>
      <c r="E110" s="30"/>
      <c r="F110" s="46">
        <f t="shared" si="98"/>
        <v>186.35855580416808</v>
      </c>
      <c r="G110" s="30">
        <f t="shared" si="99"/>
        <v>0</v>
      </c>
      <c r="H110" s="30">
        <f t="shared" si="100"/>
        <v>0</v>
      </c>
    </row>
    <row r="111" spans="1:10">
      <c r="A111" s="1" t="s">
        <v>23</v>
      </c>
      <c r="F111" s="46">
        <f t="shared" si="98"/>
        <v>84.309646487853271</v>
      </c>
      <c r="G111" s="30">
        <f t="shared" si="99"/>
        <v>0</v>
      </c>
      <c r="H111" s="30">
        <f t="shared" si="100"/>
        <v>0</v>
      </c>
    </row>
    <row r="112" spans="1:10">
      <c r="A112" s="1" t="s">
        <v>24</v>
      </c>
      <c r="F112" s="46">
        <f t="shared" si="98"/>
        <v>7.7201372167089115</v>
      </c>
      <c r="G112" s="30">
        <f t="shared" si="99"/>
        <v>0</v>
      </c>
      <c r="H112" s="30">
        <f t="shared" si="100"/>
        <v>0</v>
      </c>
    </row>
    <row r="113" spans="1:8">
      <c r="A113" s="1" t="s">
        <v>14</v>
      </c>
      <c r="B113" s="30"/>
      <c r="C113" s="30"/>
      <c r="D113" s="30"/>
      <c r="F113" s="46">
        <f t="shared" si="98"/>
        <v>6839.5663517284083</v>
      </c>
      <c r="G113" s="30">
        <f t="shared" si="99"/>
        <v>8416.1765248877546</v>
      </c>
      <c r="H113" s="30">
        <f t="shared" si="100"/>
        <v>8416.1765248877582</v>
      </c>
    </row>
    <row r="114" spans="1:8">
      <c r="A114" s="1" t="s">
        <v>61</v>
      </c>
      <c r="D114" s="30">
        <f>E40</f>
        <v>2846.9937350181372</v>
      </c>
      <c r="F114">
        <v>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Y51"/>
  <sheetViews>
    <sheetView workbookViewId="0">
      <selection activeCell="F20" sqref="F20"/>
    </sheetView>
  </sheetViews>
  <sheetFormatPr defaultRowHeight="15"/>
  <sheetData>
    <row r="1" spans="1:24">
      <c r="A1" s="1"/>
      <c r="D1" s="1"/>
    </row>
    <row r="2" spans="1:24">
      <c r="A2" s="112" t="s">
        <v>153</v>
      </c>
      <c r="B2" s="26"/>
      <c r="C2" s="26"/>
      <c r="D2" s="113" t="s">
        <v>154</v>
      </c>
      <c r="E2" s="26"/>
      <c r="F2" s="19"/>
      <c r="J2" s="1" t="s">
        <v>27</v>
      </c>
      <c r="K2" s="1"/>
      <c r="L2" s="1"/>
      <c r="M2" s="1"/>
      <c r="N2" s="1"/>
      <c r="O2" s="1"/>
      <c r="P2" s="1"/>
      <c r="Q2" s="1"/>
      <c r="R2" s="1"/>
      <c r="S2" s="1"/>
    </row>
    <row r="3" spans="1:24">
      <c r="A3" s="65" t="s">
        <v>0</v>
      </c>
      <c r="B3" s="4">
        <v>12.010999999999999</v>
      </c>
      <c r="C3" s="4"/>
      <c r="D3" s="16" t="s">
        <v>7</v>
      </c>
      <c r="E3" s="4">
        <v>28.009999999999998</v>
      </c>
      <c r="F3" s="13"/>
      <c r="J3" s="1" t="s">
        <v>26</v>
      </c>
      <c r="K3" s="1"/>
      <c r="L3" s="1"/>
      <c r="M3" s="1"/>
      <c r="N3" s="1" t="s">
        <v>29</v>
      </c>
      <c r="O3" s="1"/>
      <c r="P3" s="1"/>
      <c r="Q3" s="1" t="s">
        <v>69</v>
      </c>
      <c r="R3" s="1"/>
      <c r="S3" s="1"/>
    </row>
    <row r="4" spans="1:24">
      <c r="A4" s="65" t="s">
        <v>2</v>
      </c>
      <c r="B4" s="4">
        <v>1.0079</v>
      </c>
      <c r="C4" s="4"/>
      <c r="D4" s="16" t="s">
        <v>8</v>
      </c>
      <c r="E4" s="4">
        <v>44.009</v>
      </c>
      <c r="F4" s="13"/>
      <c r="I4" s="1"/>
      <c r="J4" s="49" t="s">
        <v>76</v>
      </c>
      <c r="K4" s="50" t="s">
        <v>25</v>
      </c>
      <c r="L4" s="1"/>
      <c r="M4" s="1"/>
      <c r="N4" s="49" t="s">
        <v>77</v>
      </c>
      <c r="O4" s="50" t="s">
        <v>25</v>
      </c>
      <c r="P4" s="1"/>
      <c r="Q4" s="1"/>
      <c r="R4" s="1" t="s">
        <v>28</v>
      </c>
      <c r="S4" s="1" t="s">
        <v>85</v>
      </c>
    </row>
    <row r="5" spans="1:24">
      <c r="A5" s="65" t="s">
        <v>3</v>
      </c>
      <c r="B5" s="4">
        <v>15.999000000000001</v>
      </c>
      <c r="C5" s="4"/>
      <c r="D5" s="16" t="s">
        <v>9</v>
      </c>
      <c r="E5" s="4">
        <v>16.0426</v>
      </c>
      <c r="F5" s="13"/>
      <c r="I5" s="1" t="s">
        <v>7</v>
      </c>
      <c r="J5" s="48">
        <v>0.27860000000000001</v>
      </c>
      <c r="K5" s="51">
        <f>(E3*J5)/(($E$3*$J$5)+($E$4*$J$6)+($E$5*$J$7)+($E$6*$J$8)+($E$7*$J$9)+($E$9*$J$11)+($J$12*$E$10)+($E$11*$J$13))</f>
        <v>0.71725499868696041</v>
      </c>
      <c r="M5" t="s">
        <v>7</v>
      </c>
      <c r="N5" s="48">
        <v>0.62630000000000008</v>
      </c>
      <c r="O5" s="51">
        <f>(E3*N5)/(($E$3*$N$5)+($E$4*$N$6)+($E$5*$N$7)+($E$6*$N$8)+($E$7*$N$9)+($E$9*$N$11)+($N$12*$E$10)+($E$11*$N$13))</f>
        <v>0.82400713647572066</v>
      </c>
      <c r="Q5" t="s">
        <v>61</v>
      </c>
      <c r="R5">
        <v>0.94329250138233189</v>
      </c>
      <c r="S5">
        <v>0.95000000000000007</v>
      </c>
    </row>
    <row r="6" spans="1:24">
      <c r="A6" s="65" t="s">
        <v>4</v>
      </c>
      <c r="B6" s="4">
        <v>14.007</v>
      </c>
      <c r="C6" s="4"/>
      <c r="D6" s="16" t="s">
        <v>10</v>
      </c>
      <c r="E6" s="4">
        <v>2.0158</v>
      </c>
      <c r="F6" s="13"/>
      <c r="I6" s="1" t="s">
        <v>8</v>
      </c>
      <c r="J6" s="48">
        <v>3.5200000000000002E-2</v>
      </c>
      <c r="K6" s="51">
        <f>(E4*J6)/(($E$3*$J$5)+($E$4*$J$6)+($E$5*$J$7)+($E$6*$J$8)+($E$7*$J$9)+($E$9*$J$11)+($J$12*$E$10)+($E$11*$J$13))</f>
        <v>0.14238476622798141</v>
      </c>
      <c r="M6" t="s">
        <v>8</v>
      </c>
      <c r="N6" s="48">
        <v>2.1700000000000001E-2</v>
      </c>
      <c r="O6" s="51">
        <f>(E4*N6)/(($E$3*$N$5)+($E$4*$N$6)+($E$5*$N$7)+($E$6*$N$8)+($E$7*$N$9)+($E$9*$N$11)+($N$12*$E$10)+($E$11*$N$13))</f>
        <v>4.4857667419180985E-2</v>
      </c>
      <c r="Q6" t="s">
        <v>11</v>
      </c>
      <c r="R6">
        <v>5.6707498617668085E-2</v>
      </c>
      <c r="S6">
        <v>4.9999999999999899E-2</v>
      </c>
    </row>
    <row r="7" spans="1:24">
      <c r="A7" s="65" t="s">
        <v>5</v>
      </c>
      <c r="B7" s="4">
        <v>32.066000000000003</v>
      </c>
      <c r="C7" s="4"/>
      <c r="D7" s="16" t="s">
        <v>11</v>
      </c>
      <c r="E7" s="4">
        <v>28.013999999999999</v>
      </c>
      <c r="F7" s="13"/>
      <c r="I7" s="1" t="s">
        <v>9</v>
      </c>
      <c r="J7" s="48">
        <v>2.0999999999999999E-3</v>
      </c>
      <c r="K7" s="51">
        <f>(E5*J7)/(($E$3*$J$5)+($E$4*$J$6)+($E$5*$J$7)+($E$6*$J$8)+($E$7*$J$9)+($E$9*$J$11)+($J$12*$E$10)+($E$11*$J$13))</f>
        <v>3.0965165999406433E-3</v>
      </c>
      <c r="M7" t="s">
        <v>9</v>
      </c>
      <c r="N7" s="48">
        <v>8.9999999999999998E-4</v>
      </c>
      <c r="O7" s="51">
        <f>(E5*N7)/(($E$3*$N$5)+($E$4*$N$6)+($E$5*$N$7)+($E$6*$N$8)+($E$7*$N$9)+($E$9*$N$11)+($N$12*$E$10)+($E$11*$N$13))</f>
        <v>6.7819208513911797E-4</v>
      </c>
    </row>
    <row r="8" spans="1:24">
      <c r="A8" s="11"/>
      <c r="B8" s="4"/>
      <c r="C8" s="4"/>
      <c r="D8" s="16" t="s">
        <v>61</v>
      </c>
      <c r="E8" s="4">
        <f>2*B5</f>
        <v>31.998000000000001</v>
      </c>
      <c r="F8" s="13"/>
      <c r="I8" s="1" t="s">
        <v>10</v>
      </c>
      <c r="J8" s="48">
        <v>0.67969999999999997</v>
      </c>
      <c r="K8" s="51">
        <f>(E6*J8)/(($E$3*$J$5)+($E$4*$J$6)+($E$5*$J$7)+($E$6*$J$8)+($E$7*$J$9)+($E$9*$J$11)+($J$12*$E$10)+($E$11*$J$13))</f>
        <v>0.12593431188331272</v>
      </c>
      <c r="M8" t="s">
        <v>10</v>
      </c>
      <c r="N8" s="48">
        <v>0.26140000000000002</v>
      </c>
      <c r="O8" s="51">
        <f>(E6*N8)/(($E$3*$N$5)+($E$4*$N$6)+($E$5*$N$7)+($E$6*$N$8)+($E$7*$N$9)+($E$9*$N$11)+($N$12*$E$10)+($E$11*$N$13))</f>
        <v>2.4750756444674782E-2</v>
      </c>
    </row>
    <row r="9" spans="1:24">
      <c r="A9" s="11"/>
      <c r="B9" s="4"/>
      <c r="C9" s="4"/>
      <c r="D9" s="16" t="s">
        <v>22</v>
      </c>
      <c r="E9" s="4">
        <v>18.014800000000001</v>
      </c>
      <c r="F9" s="13"/>
      <c r="I9" s="1" t="s">
        <v>11</v>
      </c>
      <c r="J9" s="48">
        <v>4.4000000000000003E-3</v>
      </c>
      <c r="K9" s="51">
        <f>(E7*J9)/(($E$3*$J$5)+($E$4*$J$6)+($E$5*$J$7)+($E$6*$J$8)+($E$7*$J$9)+($E$9*$J$11)+($J$12*$E$10)+($E$11*$J$13))</f>
        <v>1.1329406601804945E-2</v>
      </c>
      <c r="M9" t="s">
        <v>11</v>
      </c>
      <c r="N9" s="48">
        <v>4.9400000000000006E-2</v>
      </c>
      <c r="O9" s="51">
        <f>(E7*N9)/(($E$3*$N$5)+($E$4*$N$6)+($E$5*$N$7)+($E$6*$N$8)+($E$7*$N$9)+($E$9*$N$11)+($N$12*$E$10)+($E$11*$N$13))</f>
        <v>6.5003617438743666E-2</v>
      </c>
    </row>
    <row r="10" spans="1:24">
      <c r="A10" s="11"/>
      <c r="B10" s="4"/>
      <c r="C10" s="4"/>
      <c r="D10" s="16" t="s">
        <v>23</v>
      </c>
      <c r="E10" s="4">
        <v>34.081800000000001</v>
      </c>
      <c r="F10" s="13"/>
      <c r="I10" s="1" t="s">
        <v>61</v>
      </c>
      <c r="J10" s="48">
        <v>0</v>
      </c>
      <c r="K10">
        <v>0</v>
      </c>
      <c r="M10" t="s">
        <v>61</v>
      </c>
      <c r="N10" s="48">
        <v>0</v>
      </c>
      <c r="O10">
        <v>0</v>
      </c>
    </row>
    <row r="11" spans="1:24">
      <c r="A11" s="27"/>
      <c r="B11" s="15"/>
      <c r="C11" s="15"/>
      <c r="D11" s="99" t="s">
        <v>24</v>
      </c>
      <c r="E11" s="15">
        <v>60.076000000000001</v>
      </c>
      <c r="F11" s="14"/>
      <c r="I11" s="1" t="s">
        <v>22</v>
      </c>
      <c r="J11" s="48">
        <v>0</v>
      </c>
      <c r="K11" s="51">
        <f>(E9*J11)/(($E$3*$J$5)+($E$4*$J$6)+($E$5*$J$7)+($E$6*$J$8)+($E$7*$J$9)+($E$9*$J$11)+($J$12*$E$10)+($E$11*$J$13))</f>
        <v>0</v>
      </c>
      <c r="M11" t="s">
        <v>22</v>
      </c>
      <c r="N11" s="48">
        <v>3.2199999999999999E-2</v>
      </c>
      <c r="O11" s="51">
        <f>(E9*N11)/(($E$3*$N$5)+($E$4*$N$6)+($E$5*$N$7)+($E$6*$N$8)+($E$7*$N$9)+($E$9*$N$11)+($N$12*$E$10)+($E$11*$N$13))</f>
        <v>2.7247130332623194E-2</v>
      </c>
    </row>
    <row r="12" spans="1:24">
      <c r="I12" s="1" t="s">
        <v>23</v>
      </c>
      <c r="J12" s="48">
        <v>0</v>
      </c>
      <c r="K12" s="51">
        <f>(E10*J12)/(($E$3*$J$5)+($E$4*$J$6)+($E$5*$J$7)+($E$6*$J$8)+($E$7*$J$9)+($E$9*$J$11)+($J$12*$E$10)+($E$11*$J$13))</f>
        <v>0</v>
      </c>
      <c r="M12" t="s">
        <v>23</v>
      </c>
      <c r="N12" s="48">
        <v>7.7000000000000002E-3</v>
      </c>
      <c r="O12" s="51">
        <f>(E10*N12)/(($E$3*$N$5)+($E$4*$N$6)+($E$5*$N$7)+($E$6*$N$8)+($E$7*$N$9)+($E$9*$N$11)+($N$12*$E$10)+($E$11*$N$13))</f>
        <v>1.232675321097625E-2</v>
      </c>
    </row>
    <row r="13" spans="1:24">
      <c r="I13" s="1" t="s">
        <v>24</v>
      </c>
      <c r="J13" s="48">
        <v>0</v>
      </c>
      <c r="K13" s="51">
        <f>(E11*J13)/(($E$3*$J$5)+($E$4*$J$6)+($E$5*$J$7)+($E$6*$J$8)+($E$7*$J$9)+($E$9*$J$11)+($J$12*$E$10)+($E$11*$J$13))</f>
        <v>0</v>
      </c>
      <c r="M13" t="s">
        <v>24</v>
      </c>
      <c r="N13" s="48">
        <v>4.0000000000000002E-4</v>
      </c>
      <c r="O13" s="51">
        <f>(E11*N13)/(($E$3*$N$5)+($E$4*$N$6)+($E$5*$N$7)+($E$6*$N$8)+($E$7*$N$9)+($E$9*$N$11)+($N$12*$E$10)+($E$11*$N$13))</f>
        <v>1.1287465929412288E-3</v>
      </c>
    </row>
    <row r="14" spans="1:24">
      <c r="I14" s="1" t="s">
        <v>14</v>
      </c>
      <c r="J14" s="48">
        <f>SUM(J5:J13)</f>
        <v>1</v>
      </c>
      <c r="K14" s="48">
        <f>SUM(K5:K13)</f>
        <v>1.0000000000000002</v>
      </c>
      <c r="M14" t="s">
        <v>14</v>
      </c>
      <c r="N14" s="48">
        <v>1.0000000000000002</v>
      </c>
      <c r="O14" s="48">
        <f>SUM(O5:O13)</f>
        <v>0.99999999999999967</v>
      </c>
    </row>
    <row r="15" spans="1:24">
      <c r="I15" s="1"/>
      <c r="J15" s="1" t="s">
        <v>33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>
      <c r="I16" s="1"/>
      <c r="J16" s="1" t="s">
        <v>26</v>
      </c>
      <c r="K16" s="1"/>
      <c r="L16" s="1"/>
      <c r="M16" s="1"/>
      <c r="N16" s="1" t="s">
        <v>29</v>
      </c>
      <c r="O16" s="1"/>
      <c r="P16" s="1"/>
      <c r="Q16" s="1" t="s">
        <v>32</v>
      </c>
      <c r="R16" s="1"/>
      <c r="S16" s="1"/>
      <c r="T16" s="1" t="s">
        <v>69</v>
      </c>
      <c r="U16" s="1"/>
      <c r="V16" s="1"/>
      <c r="W16" s="1" t="s">
        <v>52</v>
      </c>
      <c r="X16" s="1"/>
    </row>
    <row r="17" spans="1:25">
      <c r="I17" s="1"/>
      <c r="J17" s="1" t="s">
        <v>28</v>
      </c>
      <c r="K17" s="1" t="s">
        <v>25</v>
      </c>
      <c r="L17" s="1"/>
      <c r="M17" s="1"/>
      <c r="N17" s="1" t="s">
        <v>28</v>
      </c>
      <c r="O17" s="1" t="s">
        <v>25</v>
      </c>
      <c r="P17" s="1"/>
      <c r="Q17" s="50" t="s">
        <v>28</v>
      </c>
      <c r="R17" s="49" t="s">
        <v>85</v>
      </c>
      <c r="S17" s="1"/>
      <c r="T17" s="1" t="s">
        <v>28</v>
      </c>
      <c r="U17" s="1" t="s">
        <v>25</v>
      </c>
      <c r="V17" s="1"/>
      <c r="W17" s="1" t="s">
        <v>28</v>
      </c>
      <c r="X17" s="1" t="s">
        <v>25</v>
      </c>
    </row>
    <row r="18" spans="1:25">
      <c r="I18" s="1" t="s">
        <v>0</v>
      </c>
      <c r="J18" s="29">
        <f>O29/$O$34</f>
        <v>0.15473916238060251</v>
      </c>
      <c r="K18" s="29">
        <f>P29/$P$34</f>
        <v>0.34874513312436944</v>
      </c>
      <c r="N18" s="52">
        <f>F29/$F$34</f>
        <v>0.31447667942073915</v>
      </c>
      <c r="O18" s="52">
        <f>G29/$G$34</f>
        <v>0.36631948699778794</v>
      </c>
      <c r="Q18" s="51">
        <f>(R18/B3)/(($R$18/$B$3)+($R$19/$B$4)+($R$20/$B$5)+($R$21/$B$6)+($R$22/$B$7))</f>
        <v>0.60179836601989978</v>
      </c>
      <c r="R18" s="48">
        <v>0.83299999999999996</v>
      </c>
      <c r="T18">
        <v>0</v>
      </c>
      <c r="U18">
        <v>0</v>
      </c>
      <c r="W18">
        <v>0</v>
      </c>
      <c r="X18">
        <v>0</v>
      </c>
    </row>
    <row r="19" spans="1:25">
      <c r="I19" s="1" t="s">
        <v>2</v>
      </c>
      <c r="J19" s="29">
        <f>O30/$O$34</f>
        <v>0.66999755082047507</v>
      </c>
      <c r="K19" s="29">
        <f>P30/$P$34</f>
        <v>0.12671248476827651</v>
      </c>
      <c r="N19" s="52">
        <f>F30/$F$34</f>
        <v>0.29360197607400584</v>
      </c>
      <c r="O19" s="52">
        <f>G30/$G$34</f>
        <v>2.8699136489598025E-2</v>
      </c>
      <c r="Q19" s="51">
        <f>(R19/B4)/(($R$18/$B$3)+($R$19/$B$4)+($R$20/$B$5)+($R$21/$B$6)+($R$22/$B$7))</f>
        <v>0.34437190727538242</v>
      </c>
      <c r="R19" s="48">
        <v>0.04</v>
      </c>
      <c r="T19">
        <v>0</v>
      </c>
      <c r="U19">
        <v>0</v>
      </c>
      <c r="W19">
        <v>0.66666666666666663</v>
      </c>
      <c r="X19">
        <v>0.11189688478362234</v>
      </c>
    </row>
    <row r="20" spans="1:25">
      <c r="I20" s="1" t="s">
        <v>3</v>
      </c>
      <c r="J20" s="29">
        <f>O31/$O$34</f>
        <v>0.17095273083517024</v>
      </c>
      <c r="K20" s="29">
        <f>P31/$P$34</f>
        <v>0.5132129755055489</v>
      </c>
      <c r="N20" s="52">
        <f>F31/$F$34</f>
        <v>0.34014626822298644</v>
      </c>
      <c r="O20" s="52">
        <f>G31/$G$34</f>
        <v>0.52777760656625683</v>
      </c>
      <c r="Q20" s="51">
        <f>(R20/B5)/(($R$18/$B$3)+($R$19/$B$4)+($R$20/$B$5)+($R$21/$B$6)+($R$22/$B$7))</f>
        <v>2.4081043460877073E-2</v>
      </c>
      <c r="R20" s="48">
        <v>4.4400000000000002E-2</v>
      </c>
      <c r="T20">
        <v>0.94329250138233189</v>
      </c>
      <c r="U20">
        <v>0.95000000000000029</v>
      </c>
      <c r="W20">
        <v>0.33333333333333331</v>
      </c>
      <c r="X20">
        <v>0.88810311521637764</v>
      </c>
    </row>
    <row r="21" spans="1:25">
      <c r="I21" s="1" t="s">
        <v>4</v>
      </c>
      <c r="J21" s="29">
        <f>O32/$O$34</f>
        <v>4.310555963752143E-3</v>
      </c>
      <c r="K21" s="29">
        <f>P32/$P$34</f>
        <v>1.1329406601804939E-2</v>
      </c>
      <c r="N21" s="52">
        <f>F32/$F$34</f>
        <v>4.7851988182302511E-2</v>
      </c>
      <c r="O21" s="52">
        <f>G32/$G$34</f>
        <v>6.5003617438743652E-2</v>
      </c>
      <c r="Q21" s="51">
        <f>(R21/B6)/(($R$18/$B$3)+($R$19/$B$4)+($R$20/$B$5)+($R$21/$B$6)+($R$22/$B$7))</f>
        <v>1.3133361607176033E-2</v>
      </c>
      <c r="R21" s="48">
        <v>2.12E-2</v>
      </c>
      <c r="T21">
        <v>5.6707498617668085E-2</v>
      </c>
      <c r="U21">
        <v>4.9999999999999795E-2</v>
      </c>
      <c r="W21">
        <v>0</v>
      </c>
      <c r="X21">
        <v>0</v>
      </c>
    </row>
    <row r="22" spans="1:25">
      <c r="I22" s="1" t="s">
        <v>5</v>
      </c>
      <c r="J22" s="29">
        <f>O33/$O$34</f>
        <v>0</v>
      </c>
      <c r="K22" s="29">
        <f>P33/$P$34</f>
        <v>0</v>
      </c>
      <c r="N22" s="52">
        <f>F33/$F$34</f>
        <v>3.9230880999660961E-3</v>
      </c>
      <c r="O22" s="52">
        <f>G33/$G$34</f>
        <v>1.2200152507613393E-2</v>
      </c>
      <c r="Q22" s="51">
        <f>(R22/B7)/(($R$18/$B$3)+($R$19/$B$4)+($R$20/$B$5)+($R$21/$B$6)+($R$22/$B$7))</f>
        <v>1.6615321636664591E-2</v>
      </c>
      <c r="R22" s="48">
        <v>6.1399999999999996E-2</v>
      </c>
      <c r="T22">
        <v>0</v>
      </c>
      <c r="U22">
        <v>0</v>
      </c>
      <c r="W22">
        <v>0</v>
      </c>
      <c r="X22">
        <v>0</v>
      </c>
    </row>
    <row r="23" spans="1:25">
      <c r="A23" t="s">
        <v>78</v>
      </c>
      <c r="I23" s="1" t="s">
        <v>14</v>
      </c>
      <c r="J23" s="29">
        <v>1</v>
      </c>
      <c r="K23" s="29">
        <v>1</v>
      </c>
      <c r="N23" s="52">
        <v>1</v>
      </c>
      <c r="O23" s="52">
        <v>1.0000000000000002</v>
      </c>
      <c r="Q23" s="48">
        <v>0.99999999999999978</v>
      </c>
      <c r="R23" s="48">
        <v>1</v>
      </c>
      <c r="T23">
        <v>1</v>
      </c>
      <c r="U23">
        <v>1</v>
      </c>
    </row>
    <row r="24" spans="1:25">
      <c r="A24">
        <v>100</v>
      </c>
      <c r="B24" t="s">
        <v>79</v>
      </c>
      <c r="I24" s="1"/>
    </row>
    <row r="25" spans="1:25">
      <c r="I25" s="1"/>
      <c r="S25" s="43"/>
      <c r="T25" s="43"/>
      <c r="U25" s="43"/>
      <c r="V25" s="43"/>
      <c r="W25" s="43"/>
      <c r="X25" s="43"/>
      <c r="Y25" s="43"/>
    </row>
    <row r="26" spans="1:25">
      <c r="C26" s="1" t="s">
        <v>29</v>
      </c>
      <c r="L26" s="1" t="s">
        <v>84</v>
      </c>
      <c r="S26" s="43"/>
      <c r="T26" s="43"/>
      <c r="U26" s="54"/>
      <c r="V26" s="43"/>
      <c r="W26" s="43"/>
      <c r="X26" s="43"/>
      <c r="Y26" s="43"/>
    </row>
    <row r="27" spans="1:25">
      <c r="A27" s="1" t="s">
        <v>82</v>
      </c>
      <c r="E27" s="53" t="s">
        <v>83</v>
      </c>
      <c r="F27" s="52"/>
      <c r="G27" s="52"/>
      <c r="J27" s="1" t="s">
        <v>82</v>
      </c>
      <c r="N27" s="7" t="s">
        <v>83</v>
      </c>
      <c r="O27" s="29"/>
      <c r="P27" s="29"/>
      <c r="S27" s="54"/>
      <c r="T27" s="43"/>
      <c r="U27" s="43"/>
      <c r="V27" s="43"/>
      <c r="W27" s="54"/>
      <c r="X27" s="43"/>
      <c r="Y27" s="43"/>
    </row>
    <row r="28" spans="1:25">
      <c r="B28" t="s">
        <v>87</v>
      </c>
      <c r="C28" t="s">
        <v>81</v>
      </c>
      <c r="E28" s="52"/>
      <c r="F28" s="52" t="s">
        <v>80</v>
      </c>
      <c r="G28" s="52" t="s">
        <v>81</v>
      </c>
      <c r="K28" t="s">
        <v>88</v>
      </c>
      <c r="L28" t="s">
        <v>81</v>
      </c>
      <c r="N28" s="29"/>
      <c r="O28" s="29" t="s">
        <v>80</v>
      </c>
      <c r="P28" s="29" t="s">
        <v>81</v>
      </c>
      <c r="S28" s="43"/>
      <c r="T28" s="43"/>
      <c r="U28" s="43"/>
      <c r="V28" s="43"/>
      <c r="W28" s="43"/>
      <c r="X28" s="43"/>
      <c r="Y28" s="43"/>
    </row>
    <row r="29" spans="1:25">
      <c r="A29" s="1" t="s">
        <v>7</v>
      </c>
      <c r="B29">
        <f>$A$24*N5</f>
        <v>62.63000000000001</v>
      </c>
      <c r="C29">
        <f>B29*E3</f>
        <v>1754.2663000000002</v>
      </c>
      <c r="E29" s="53" t="s">
        <v>0</v>
      </c>
      <c r="F29" s="52">
        <f>B29+B30+B31+B36</f>
        <v>64.930000000000021</v>
      </c>
      <c r="G29" s="52">
        <f>F29*B3</f>
        <v>779.87423000000024</v>
      </c>
      <c r="J29" s="1" t="s">
        <v>7</v>
      </c>
      <c r="K29">
        <f>$A$24*J5</f>
        <v>27.860000000000003</v>
      </c>
      <c r="L29">
        <f>K29*E3</f>
        <v>780.35860000000002</v>
      </c>
      <c r="N29" s="7" t="s">
        <v>0</v>
      </c>
      <c r="O29" s="29">
        <f>K29+K30+K31+K36</f>
        <v>31.590000000000003</v>
      </c>
      <c r="P29" s="29">
        <f>O29*B3</f>
        <v>379.42749000000003</v>
      </c>
      <c r="S29" s="43"/>
      <c r="T29" s="43"/>
      <c r="U29" s="43"/>
      <c r="V29" s="43"/>
      <c r="W29" s="43"/>
      <c r="X29" s="43"/>
      <c r="Y29" s="43"/>
    </row>
    <row r="30" spans="1:25">
      <c r="A30" s="1" t="s">
        <v>8</v>
      </c>
      <c r="B30">
        <f>$A$24*N6</f>
        <v>2.17</v>
      </c>
      <c r="C30">
        <f>B30*E4</f>
        <v>95.499529999999993</v>
      </c>
      <c r="E30" s="53" t="s">
        <v>2</v>
      </c>
      <c r="F30" s="52">
        <f>(4*B31)+(2*B32)+(2*B34)+(2*B35)</f>
        <v>60.62</v>
      </c>
      <c r="G30" s="52">
        <f>F30*B4</f>
        <v>61.098897999999998</v>
      </c>
      <c r="J30" s="1" t="s">
        <v>8</v>
      </c>
      <c r="K30">
        <f>$A$24*J6</f>
        <v>3.52</v>
      </c>
      <c r="L30">
        <f>K30*E4</f>
        <v>154.91167999999999</v>
      </c>
      <c r="N30" s="7" t="s">
        <v>2</v>
      </c>
      <c r="O30" s="29">
        <f>(4*K31)+(2*K32)+(2*K34)+(2*K35)</f>
        <v>136.78</v>
      </c>
      <c r="P30" s="29">
        <f>O30*B4</f>
        <v>137.86056200000002</v>
      </c>
      <c r="S30" s="43"/>
      <c r="T30" s="43"/>
      <c r="U30" s="43"/>
      <c r="V30" s="43"/>
      <c r="W30" s="43"/>
      <c r="X30" s="43"/>
      <c r="Y30" s="43"/>
    </row>
    <row r="31" spans="1:25">
      <c r="A31" s="1" t="s">
        <v>9</v>
      </c>
      <c r="B31">
        <f>$A$24*N7</f>
        <v>0.09</v>
      </c>
      <c r="C31">
        <f>B31*E5</f>
        <v>1.4438340000000001</v>
      </c>
      <c r="E31" s="53" t="s">
        <v>3</v>
      </c>
      <c r="F31" s="52">
        <f>B29+(2*B30)+B34+B36</f>
        <v>70.230000000000018</v>
      </c>
      <c r="G31" s="52">
        <f>F31*B5</f>
        <v>1123.6097700000003</v>
      </c>
      <c r="J31" s="1" t="s">
        <v>9</v>
      </c>
      <c r="K31">
        <f>$A$24*J7</f>
        <v>0.21</v>
      </c>
      <c r="L31">
        <f>K31*E5</f>
        <v>3.3689459999999998</v>
      </c>
      <c r="N31" s="7" t="s">
        <v>3</v>
      </c>
      <c r="O31" s="29">
        <f>K29+(2*K30)+K34+K36</f>
        <v>34.900000000000006</v>
      </c>
      <c r="P31" s="29">
        <f>O31*B5</f>
        <v>558.3651000000001</v>
      </c>
      <c r="S31" s="43"/>
      <c r="T31" s="43"/>
      <c r="U31" s="43"/>
      <c r="V31" s="43"/>
      <c r="W31" s="43"/>
      <c r="X31" s="43"/>
      <c r="Y31" s="43"/>
    </row>
    <row r="32" spans="1:25">
      <c r="A32" s="1" t="s">
        <v>10</v>
      </c>
      <c r="B32">
        <f>$A$24*N8</f>
        <v>26.14</v>
      </c>
      <c r="C32">
        <f>B32*E6</f>
        <v>52.693012000000003</v>
      </c>
      <c r="E32" s="53" t="s">
        <v>4</v>
      </c>
      <c r="F32" s="52">
        <f>2*B33</f>
        <v>9.8800000000000008</v>
      </c>
      <c r="G32" s="52">
        <f>F32*B6</f>
        <v>138.38916</v>
      </c>
      <c r="J32" s="1" t="s">
        <v>10</v>
      </c>
      <c r="K32">
        <f>$A$24*J8</f>
        <v>67.97</v>
      </c>
      <c r="L32">
        <f>K32*E6</f>
        <v>137.013926</v>
      </c>
      <c r="N32" s="7" t="s">
        <v>4</v>
      </c>
      <c r="O32" s="29">
        <f>2*K33</f>
        <v>0.88</v>
      </c>
      <c r="P32" s="29">
        <f>O32*B6</f>
        <v>12.32616</v>
      </c>
      <c r="S32" s="54"/>
      <c r="T32" s="43"/>
      <c r="U32" s="43"/>
      <c r="V32" s="43"/>
      <c r="W32" s="43"/>
      <c r="X32" s="43"/>
      <c r="Y32" s="43"/>
    </row>
    <row r="33" spans="1:19">
      <c r="A33" s="1" t="s">
        <v>11</v>
      </c>
      <c r="B33">
        <f>$A$24*N9</f>
        <v>4.9400000000000004</v>
      </c>
      <c r="C33">
        <f>B33*E7</f>
        <v>138.38916</v>
      </c>
      <c r="E33" s="53" t="s">
        <v>5</v>
      </c>
      <c r="F33" s="52">
        <f>B35+B36</f>
        <v>0.81</v>
      </c>
      <c r="G33" s="52">
        <f>F33*B7</f>
        <v>25.973460000000003</v>
      </c>
      <c r="J33" s="1" t="s">
        <v>11</v>
      </c>
      <c r="K33">
        <f>$A$24*J9</f>
        <v>0.44</v>
      </c>
      <c r="L33">
        <f>K33*E7</f>
        <v>12.32616</v>
      </c>
      <c r="N33" s="7" t="s">
        <v>5</v>
      </c>
      <c r="O33" s="29">
        <f>K35+K36</f>
        <v>0</v>
      </c>
      <c r="P33" s="29">
        <f>O33*B7</f>
        <v>0</v>
      </c>
      <c r="S33" s="1"/>
    </row>
    <row r="34" spans="1:19">
      <c r="A34" s="1" t="s">
        <v>22</v>
      </c>
      <c r="B34">
        <f>$A$24*N11</f>
        <v>3.2199999999999998</v>
      </c>
      <c r="C34">
        <f>B34*E9</f>
        <v>58.007655999999997</v>
      </c>
      <c r="E34" s="53" t="s">
        <v>14</v>
      </c>
      <c r="F34" s="52">
        <f>SUM(F29:F33)</f>
        <v>206.47000000000003</v>
      </c>
      <c r="G34" s="52">
        <f>SUM(G29:G33)</f>
        <v>2128.9455180000009</v>
      </c>
      <c r="J34" s="1" t="s">
        <v>22</v>
      </c>
      <c r="K34">
        <f>$A$24*J11</f>
        <v>0</v>
      </c>
      <c r="L34">
        <f>K34*E9</f>
        <v>0</v>
      </c>
      <c r="N34" s="7" t="s">
        <v>14</v>
      </c>
      <c r="O34" s="29">
        <f>SUM(O29:O33)</f>
        <v>204.15</v>
      </c>
      <c r="P34" s="29">
        <f>SUM(P29:P33)</f>
        <v>1087.9793120000004</v>
      </c>
      <c r="S34" s="1"/>
    </row>
    <row r="35" spans="1:19">
      <c r="A35" s="1" t="s">
        <v>23</v>
      </c>
      <c r="B35">
        <f>$A$24*N12</f>
        <v>0.77</v>
      </c>
      <c r="C35">
        <f>B35*E10</f>
        <v>26.242986000000002</v>
      </c>
      <c r="J35" s="1" t="s">
        <v>23</v>
      </c>
      <c r="K35">
        <f>$A$24*J12</f>
        <v>0</v>
      </c>
      <c r="L35">
        <f>K35*E10</f>
        <v>0</v>
      </c>
      <c r="S35" s="1"/>
    </row>
    <row r="36" spans="1:19">
      <c r="A36" s="1" t="s">
        <v>24</v>
      </c>
      <c r="B36">
        <f>$A$24*N13</f>
        <v>0.04</v>
      </c>
      <c r="C36">
        <f>B36*E11</f>
        <v>2.4030400000000003</v>
      </c>
      <c r="J36" s="1" t="s">
        <v>24</v>
      </c>
      <c r="K36">
        <f>$A$24*J13</f>
        <v>0</v>
      </c>
      <c r="L36">
        <f>K36*E11</f>
        <v>0</v>
      </c>
      <c r="S36" s="1"/>
    </row>
    <row r="37" spans="1:19">
      <c r="A37" s="1" t="s">
        <v>14</v>
      </c>
      <c r="B37">
        <f>SUM(B29:B36)</f>
        <v>100.00000000000001</v>
      </c>
      <c r="C37">
        <f>SUM(C29:C36)</f>
        <v>2128.9455180000004</v>
      </c>
      <c r="J37" s="1" t="s">
        <v>14</v>
      </c>
      <c r="K37">
        <f>SUM(K29:K36)</f>
        <v>100</v>
      </c>
      <c r="L37">
        <f>SUM(L29:L36)</f>
        <v>1087.9793120000002</v>
      </c>
      <c r="S37" s="1"/>
    </row>
    <row r="40" spans="1:19">
      <c r="A40" s="1" t="s">
        <v>90</v>
      </c>
    </row>
    <row r="41" spans="1:19">
      <c r="A41">
        <v>100</v>
      </c>
      <c r="B41" t="s">
        <v>91</v>
      </c>
    </row>
    <row r="43" spans="1:19">
      <c r="C43" s="1" t="s">
        <v>32</v>
      </c>
      <c r="E43" s="43"/>
      <c r="F43" s="43"/>
      <c r="G43" s="43"/>
    </row>
    <row r="44" spans="1:19">
      <c r="A44" s="1" t="s">
        <v>82</v>
      </c>
      <c r="E44" s="54" t="s">
        <v>83</v>
      </c>
      <c r="F44" s="43"/>
      <c r="G44" s="43"/>
      <c r="I44" t="s">
        <v>86</v>
      </c>
    </row>
    <row r="45" spans="1:19">
      <c r="B45" t="s">
        <v>80</v>
      </c>
      <c r="C45" t="s">
        <v>81</v>
      </c>
      <c r="E45" s="43"/>
      <c r="F45" s="43" t="s">
        <v>80</v>
      </c>
      <c r="G45" s="43" t="s">
        <v>89</v>
      </c>
    </row>
    <row r="46" spans="1:19">
      <c r="E46" s="1" t="s">
        <v>0</v>
      </c>
      <c r="F46">
        <f>G46/B3</f>
        <v>6.9353092998085089</v>
      </c>
      <c r="G46">
        <f>$A$41*R18</f>
        <v>83.3</v>
      </c>
      <c r="I46">
        <f>F46/$F$51</f>
        <v>0.60179836601989989</v>
      </c>
    </row>
    <row r="47" spans="1:19">
      <c r="E47" s="1" t="s">
        <v>2</v>
      </c>
      <c r="F47">
        <f>G47/B4</f>
        <v>3.9686476833019149</v>
      </c>
      <c r="G47">
        <f>$A$41*R19</f>
        <v>4</v>
      </c>
      <c r="I47">
        <f>F47/$F$51</f>
        <v>0.34437190727538242</v>
      </c>
    </row>
    <row r="48" spans="1:19">
      <c r="E48" s="1" t="s">
        <v>3</v>
      </c>
      <c r="F48">
        <f>G48/B5</f>
        <v>0.27751734483405216</v>
      </c>
      <c r="G48">
        <f>$A$41*R20</f>
        <v>4.4400000000000004</v>
      </c>
      <c r="I48">
        <f>F48/$F$51</f>
        <v>2.4081043460877079E-2</v>
      </c>
    </row>
    <row r="49" spans="5:9">
      <c r="E49" s="1" t="s">
        <v>4</v>
      </c>
      <c r="F49">
        <f>G49/B6</f>
        <v>0.1513528949810809</v>
      </c>
      <c r="G49">
        <f>$A$41*R21</f>
        <v>2.12</v>
      </c>
      <c r="I49">
        <f>F49/$F$51</f>
        <v>1.3133361607176035E-2</v>
      </c>
    </row>
    <row r="50" spans="5:9">
      <c r="E50" s="1" t="s">
        <v>5</v>
      </c>
      <c r="F50">
        <f>G50/B7</f>
        <v>0.19148007235077649</v>
      </c>
      <c r="G50">
        <f>$A$41*R22</f>
        <v>6.14</v>
      </c>
      <c r="I50">
        <f>F50/$F$51</f>
        <v>1.6615321636664595E-2</v>
      </c>
    </row>
    <row r="51" spans="5:9">
      <c r="E51" s="1" t="s">
        <v>14</v>
      </c>
      <c r="F51">
        <f>SUM(F46:F50)</f>
        <v>11.524307295276333</v>
      </c>
      <c r="G51">
        <f>SUM(G46:G50)</f>
        <v>100</v>
      </c>
      <c r="I51">
        <f t="shared" ref="I51" si="0">SUM(I46:I50)</f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R47"/>
  <sheetViews>
    <sheetView topLeftCell="A18" workbookViewId="0">
      <selection activeCell="C24" sqref="C24"/>
    </sheetView>
  </sheetViews>
  <sheetFormatPr defaultRowHeight="15"/>
  <cols>
    <col min="3" max="3" width="12.85546875" customWidth="1"/>
    <col min="6" max="6" width="11.28515625" customWidth="1"/>
  </cols>
  <sheetData>
    <row r="2" spans="1:18">
      <c r="A2" s="1" t="s">
        <v>145</v>
      </c>
      <c r="M2" s="94">
        <f>J30</f>
        <v>2589.8184112454924</v>
      </c>
    </row>
    <row r="3" spans="1:18">
      <c r="C3" s="94">
        <f>D41</f>
        <v>3086.4716680000001</v>
      </c>
      <c r="M3" s="110" t="s">
        <v>150</v>
      </c>
    </row>
    <row r="4" spans="1:18">
      <c r="C4" s="110" t="s">
        <v>146</v>
      </c>
    </row>
    <row r="5" spans="1:18">
      <c r="C5" s="110"/>
    </row>
    <row r="6" spans="1:18">
      <c r="C6" s="94">
        <f>D30</f>
        <v>2996.8355105454075</v>
      </c>
      <c r="G6" s="94">
        <f>F30</f>
        <v>6839.5663517284083</v>
      </c>
      <c r="P6" s="94">
        <f>L30</f>
        <v>5747.3466452497105</v>
      </c>
      <c r="R6" s="94">
        <f>M30</f>
        <v>8416.1765248877546</v>
      </c>
    </row>
    <row r="7" spans="1:18">
      <c r="C7" s="110" t="s">
        <v>53</v>
      </c>
      <c r="G7" s="110" t="s">
        <v>55</v>
      </c>
      <c r="K7" s="94">
        <f>G30</f>
        <v>6285.0517187921505</v>
      </c>
      <c r="M7" s="94">
        <f>K30</f>
        <v>3695.2333075466568</v>
      </c>
      <c r="P7" s="110" t="s">
        <v>151</v>
      </c>
      <c r="R7" s="110" t="s">
        <v>152</v>
      </c>
    </row>
    <row r="8" spans="1:18">
      <c r="C8" s="110"/>
      <c r="K8" s="110" t="s">
        <v>147</v>
      </c>
      <c r="M8" s="110" t="s">
        <v>148</v>
      </c>
    </row>
    <row r="9" spans="1:18">
      <c r="C9" s="94">
        <f>E30</f>
        <v>707.51948535332849</v>
      </c>
    </row>
    <row r="10" spans="1:18">
      <c r="C10" s="110" t="s">
        <v>52</v>
      </c>
    </row>
    <row r="11" spans="1:18">
      <c r="C11" s="110"/>
      <c r="H11" s="30">
        <f>H30</f>
        <v>671.49401469176087</v>
      </c>
      <c r="I11" t="s">
        <v>149</v>
      </c>
      <c r="N11" s="30">
        <f>I30</f>
        <v>2131.124806095605</v>
      </c>
      <c r="O11" t="s">
        <v>136</v>
      </c>
    </row>
    <row r="19" spans="2:17">
      <c r="C19" s="87" t="s">
        <v>129</v>
      </c>
      <c r="D19" s="88">
        <v>2</v>
      </c>
      <c r="E19" s="88">
        <v>3</v>
      </c>
      <c r="F19" s="88">
        <v>4</v>
      </c>
      <c r="G19" s="88">
        <v>5</v>
      </c>
      <c r="H19" s="88">
        <v>6</v>
      </c>
      <c r="I19" s="88">
        <v>7</v>
      </c>
      <c r="J19" s="88">
        <v>8</v>
      </c>
      <c r="K19" s="88">
        <v>9</v>
      </c>
      <c r="L19" s="89">
        <v>10</v>
      </c>
      <c r="M19" s="88">
        <v>11</v>
      </c>
    </row>
    <row r="20" spans="2:17" ht="60">
      <c r="C20" s="90" t="s">
        <v>130</v>
      </c>
      <c r="D20" s="91" t="s">
        <v>131</v>
      </c>
      <c r="E20" s="91" t="s">
        <v>132</v>
      </c>
      <c r="F20" s="91" t="s">
        <v>133</v>
      </c>
      <c r="G20" s="91" t="s">
        <v>134</v>
      </c>
      <c r="H20" s="91" t="s">
        <v>135</v>
      </c>
      <c r="I20" s="91" t="s">
        <v>136</v>
      </c>
      <c r="J20" s="92" t="s">
        <v>137</v>
      </c>
      <c r="K20" s="91" t="s">
        <v>138</v>
      </c>
      <c r="L20" s="92" t="s">
        <v>139</v>
      </c>
      <c r="M20" s="91" t="s">
        <v>54</v>
      </c>
    </row>
    <row r="21" spans="2:17">
      <c r="C21" s="93" t="s">
        <v>7</v>
      </c>
      <c r="D21" s="94">
        <v>0</v>
      </c>
      <c r="E21" s="95">
        <v>0</v>
      </c>
      <c r="F21" s="94">
        <f>'Forward Basis'!E24</f>
        <v>5635.851484223419</v>
      </c>
      <c r="G21" s="94">
        <f>'Forward Basis'!E45</f>
        <v>5635.851484223419</v>
      </c>
      <c r="H21" s="94">
        <f>'Forward Basis'!E58</f>
        <v>0</v>
      </c>
      <c r="I21" s="94">
        <v>0</v>
      </c>
      <c r="J21" s="96">
        <f>'Forward Basis'!T45</f>
        <v>2322.3089625891016</v>
      </c>
      <c r="K21" s="96">
        <f>'Forward Basis'!AH45</f>
        <v>3313.5425216343169</v>
      </c>
      <c r="L21" s="97">
        <f>'Forward Basis'!T58</f>
        <v>0</v>
      </c>
      <c r="M21" s="94">
        <f>'Forward Basis'!E70</f>
        <v>2322.3089625891016</v>
      </c>
      <c r="O21" s="78" t="s">
        <v>111</v>
      </c>
    </row>
    <row r="22" spans="2:17">
      <c r="C22" s="93" t="s">
        <v>8</v>
      </c>
      <c r="D22" s="94">
        <v>0</v>
      </c>
      <c r="E22" s="95">
        <v>0</v>
      </c>
      <c r="F22" s="94">
        <f>'Forward Basis'!E25</f>
        <v>306.80699269725397</v>
      </c>
      <c r="G22" s="94">
        <f>'Forward Basis'!E46</f>
        <v>30.680699269725398</v>
      </c>
      <c r="H22" s="94">
        <f>'Forward Basis'!E59</f>
        <v>276.12629342752859</v>
      </c>
      <c r="I22" s="94">
        <v>0</v>
      </c>
      <c r="J22" s="96">
        <f>'Forward Basis'!T46</f>
        <v>12.642288941083049</v>
      </c>
      <c r="K22" s="96">
        <f>'Forward Basis'!AH46</f>
        <v>18.03841032864235</v>
      </c>
      <c r="L22" s="94">
        <f>'Forward Basis'!T59</f>
        <v>5224.2395111713649</v>
      </c>
      <c r="M22" s="94">
        <f>'Forward Basis'!E71</f>
        <v>5236.8818001124473</v>
      </c>
      <c r="O22" s="76" t="s">
        <v>96</v>
      </c>
    </row>
    <row r="23" spans="2:17">
      <c r="C23" s="93" t="s">
        <v>9</v>
      </c>
      <c r="D23" s="94">
        <v>0</v>
      </c>
      <c r="E23" s="95">
        <v>0</v>
      </c>
      <c r="F23" s="94">
        <f>'Forward Basis'!E26</f>
        <v>4.6385397655260387</v>
      </c>
      <c r="G23" s="94">
        <f>'Forward Basis'!E47</f>
        <v>4.6385397655260387</v>
      </c>
      <c r="H23" s="94">
        <f>'Forward Basis'!E60</f>
        <v>0</v>
      </c>
      <c r="I23" s="94">
        <v>0</v>
      </c>
      <c r="J23" s="96">
        <f>'Forward Basis'!T47</f>
        <v>1.9113566957826598</v>
      </c>
      <c r="K23" s="96">
        <f>'Forward Basis'!AH47</f>
        <v>2.7271830697433801</v>
      </c>
      <c r="L23" s="94">
        <f>'Forward Basis'!T60</f>
        <v>1.9113566957826598</v>
      </c>
      <c r="M23" s="94">
        <f>'Forward Basis'!E72</f>
        <v>4.6385397655260387</v>
      </c>
      <c r="O23" s="75" t="s">
        <v>112</v>
      </c>
    </row>
    <row r="24" spans="2:17">
      <c r="B24" s="1"/>
      <c r="C24" s="93" t="s">
        <v>10</v>
      </c>
      <c r="D24" s="94">
        <v>0</v>
      </c>
      <c r="E24" s="95">
        <v>0</v>
      </c>
      <c r="F24" s="94">
        <f>'Forward Basis'!E27</f>
        <v>169.2844409588227</v>
      </c>
      <c r="G24" s="94">
        <f>'Forward Basis'!E48</f>
        <v>169.2844409588227</v>
      </c>
      <c r="H24" s="94">
        <f>'Forward Basis'!E61</f>
        <v>0</v>
      </c>
      <c r="I24" s="94">
        <v>0</v>
      </c>
      <c r="J24" s="96">
        <f>'Forward Basis'!T48</f>
        <v>69.755346741492488</v>
      </c>
      <c r="K24" s="96">
        <f>'Forward Basis'!AH48</f>
        <v>99.52909421733024</v>
      </c>
      <c r="L24" s="94">
        <f>'Forward Basis'!T61</f>
        <v>337.99532110452964</v>
      </c>
      <c r="M24" s="94">
        <f>'Forward Basis'!E73</f>
        <v>407.75066784602222</v>
      </c>
      <c r="O24" s="77" t="s">
        <v>123</v>
      </c>
    </row>
    <row r="25" spans="2:17">
      <c r="B25" s="1"/>
      <c r="C25" s="93" t="s">
        <v>11</v>
      </c>
      <c r="D25" s="94">
        <f>'Forward Basis'!E41</f>
        <v>149.84177552727016</v>
      </c>
      <c r="E25" s="95">
        <v>0</v>
      </c>
      <c r="F25" s="94">
        <f>'Forward Basis'!E28</f>
        <v>444.59655457465715</v>
      </c>
      <c r="G25" s="94">
        <f>'Forward Basis'!E49</f>
        <v>444.59655457465715</v>
      </c>
      <c r="H25" s="94">
        <f>'Forward Basis'!E62</f>
        <v>0</v>
      </c>
      <c r="I25" s="94">
        <v>0</v>
      </c>
      <c r="J25" s="96">
        <f>'Forward Basis'!T49</f>
        <v>183.20045627803319</v>
      </c>
      <c r="K25" s="96">
        <f>'Forward Basis'!AH49</f>
        <v>261.39609829662396</v>
      </c>
      <c r="L25" s="94">
        <f>'Forward Basis'!T62</f>
        <v>183.20045627803319</v>
      </c>
      <c r="M25" s="94">
        <f>'Forward Basis'!E74</f>
        <v>444.59655457465715</v>
      </c>
      <c r="P25" s="76" t="s">
        <v>140</v>
      </c>
    </row>
    <row r="26" spans="2:17">
      <c r="B26" s="1"/>
      <c r="C26" s="93" t="s">
        <v>22</v>
      </c>
      <c r="D26" s="94">
        <v>0</v>
      </c>
      <c r="E26" s="94">
        <f>'Forward Basis'!E35</f>
        <v>707.51948535332849</v>
      </c>
      <c r="F26" s="94">
        <f>'Forward Basis'!E29</f>
        <v>186.35855580416808</v>
      </c>
      <c r="G26" s="94">
        <f>'Forward Basis'!E50</f>
        <v>0</v>
      </c>
      <c r="H26" s="94">
        <f>'Forward Basis'!E63</f>
        <v>186.35855580416808</v>
      </c>
      <c r="I26" s="94">
        <f>'Forward Basis'!T70</f>
        <v>2131.124806095605</v>
      </c>
      <c r="J26" s="96">
        <f>'Forward Basis'!T50</f>
        <v>0</v>
      </c>
      <c r="K26" s="96">
        <f>'Forward Basis'!AH50</f>
        <v>0</v>
      </c>
      <c r="L26" s="94">
        <f>'Forward Basis'!T63</f>
        <v>0</v>
      </c>
      <c r="M26" s="94">
        <f>'Forward Basis'!E75</f>
        <v>0</v>
      </c>
      <c r="O26" s="98" t="s">
        <v>141</v>
      </c>
    </row>
    <row r="27" spans="2:17">
      <c r="B27" s="1"/>
      <c r="C27" s="93" t="s">
        <v>23</v>
      </c>
      <c r="D27" s="94">
        <v>0</v>
      </c>
      <c r="E27" s="94">
        <v>0</v>
      </c>
      <c r="F27" s="94">
        <f>'Forward Basis'!E30</f>
        <v>84.309646487853271</v>
      </c>
      <c r="G27" s="94">
        <f>'Forward Basis'!E51</f>
        <v>0</v>
      </c>
      <c r="H27" s="94">
        <f>'Forward Basis'!E64</f>
        <v>191.47583751708169</v>
      </c>
      <c r="I27" s="94">
        <v>0</v>
      </c>
      <c r="J27" s="96">
        <f>'Forward Basis'!T51</f>
        <v>0</v>
      </c>
      <c r="K27" s="96">
        <f>'Forward Basis'!AH51</f>
        <v>0</v>
      </c>
      <c r="L27" s="94">
        <f>'Forward Basis'!T64</f>
        <v>0</v>
      </c>
      <c r="M27" s="94">
        <f>'Forward Basis'!E76</f>
        <v>0</v>
      </c>
      <c r="O27" s="76" t="s">
        <v>104</v>
      </c>
      <c r="P27" s="76"/>
      <c r="Q27" s="76">
        <v>0.58794000000000002</v>
      </c>
    </row>
    <row r="28" spans="2:17">
      <c r="B28" s="1"/>
      <c r="C28" s="93" t="s">
        <v>24</v>
      </c>
      <c r="D28" s="94">
        <v>0</v>
      </c>
      <c r="E28" s="94">
        <v>0</v>
      </c>
      <c r="F28" s="94">
        <f>'Forward Basis'!E31</f>
        <v>7.7201372167089115</v>
      </c>
      <c r="G28" s="94">
        <f>'Forward Basis'!E52</f>
        <v>0</v>
      </c>
      <c r="H28" s="94">
        <f>'Forward Basis'!E65</f>
        <v>17.533327942982531</v>
      </c>
      <c r="I28" s="94">
        <v>0</v>
      </c>
      <c r="J28" s="96">
        <f>'Forward Basis'!T52</f>
        <v>0</v>
      </c>
      <c r="K28" s="96">
        <f>'Forward Basis'!AH52</f>
        <v>0</v>
      </c>
      <c r="L28" s="94">
        <f>'Forward Basis'!T65</f>
        <v>0</v>
      </c>
      <c r="M28" s="94">
        <f>'Forward Basis'!E77</f>
        <v>0</v>
      </c>
    </row>
    <row r="29" spans="2:17">
      <c r="B29" s="1"/>
      <c r="C29" s="99" t="s">
        <v>61</v>
      </c>
      <c r="D29" s="100">
        <f>'Forward Basis'!E40</f>
        <v>2846.9937350181372</v>
      </c>
      <c r="E29" s="101">
        <v>0</v>
      </c>
      <c r="F29" s="101">
        <v>0</v>
      </c>
      <c r="G29" s="101">
        <v>0</v>
      </c>
      <c r="H29" s="101">
        <v>0</v>
      </c>
      <c r="I29" s="101">
        <v>0</v>
      </c>
      <c r="J29" s="102">
        <v>0</v>
      </c>
      <c r="K29" s="101">
        <v>0</v>
      </c>
      <c r="L29" s="102">
        <v>0</v>
      </c>
      <c r="M29" s="101">
        <v>0</v>
      </c>
    </row>
    <row r="30" spans="2:17">
      <c r="B30" s="1"/>
      <c r="C30" s="103" t="s">
        <v>14</v>
      </c>
      <c r="D30" s="96">
        <f>SUM(D21:D29)</f>
        <v>2996.8355105454075</v>
      </c>
      <c r="E30" s="96">
        <f t="shared" ref="E30:M30" si="0">SUM(E21:E29)</f>
        <v>707.51948535332849</v>
      </c>
      <c r="F30" s="96">
        <f t="shared" si="0"/>
        <v>6839.5663517284083</v>
      </c>
      <c r="G30" s="96">
        <f>SUM(G21:G29)</f>
        <v>6285.0517187921505</v>
      </c>
      <c r="H30" s="96">
        <f t="shared" si="0"/>
        <v>671.49401469176087</v>
      </c>
      <c r="I30" s="96">
        <f t="shared" si="0"/>
        <v>2131.124806095605</v>
      </c>
      <c r="J30" s="96">
        <f t="shared" si="0"/>
        <v>2589.8184112454924</v>
      </c>
      <c r="K30" s="96">
        <f t="shared" si="0"/>
        <v>3695.2333075466568</v>
      </c>
      <c r="L30" s="96">
        <f t="shared" si="0"/>
        <v>5747.3466452497105</v>
      </c>
      <c r="M30" s="96">
        <f t="shared" si="0"/>
        <v>8416.1765248877546</v>
      </c>
    </row>
    <row r="31" spans="2:17">
      <c r="B31" s="1"/>
      <c r="D31" s="4"/>
      <c r="E31" s="104"/>
      <c r="F31" s="104"/>
      <c r="G31" s="104"/>
      <c r="H31" s="104"/>
      <c r="I31" s="104"/>
      <c r="J31" s="104"/>
      <c r="K31" s="104"/>
      <c r="M31" s="104"/>
    </row>
    <row r="32" spans="2:17">
      <c r="D32" s="104"/>
      <c r="E32" s="104"/>
      <c r="F32" s="104"/>
      <c r="G32" s="104"/>
      <c r="H32" s="104"/>
      <c r="I32" s="104"/>
      <c r="J32" s="104"/>
      <c r="K32" s="104"/>
      <c r="M32" s="104"/>
    </row>
    <row r="33" spans="3:15">
      <c r="D33" s="104"/>
      <c r="E33" s="104"/>
      <c r="F33" s="104"/>
      <c r="G33" s="104"/>
      <c r="H33" s="104"/>
      <c r="I33" s="104"/>
      <c r="J33" s="104"/>
      <c r="K33" s="104"/>
      <c r="M33" s="104"/>
    </row>
    <row r="34" spans="3:15">
      <c r="C34" s="87" t="s">
        <v>129</v>
      </c>
      <c r="D34" s="88">
        <v>1</v>
      </c>
      <c r="E34" s="88">
        <v>2</v>
      </c>
      <c r="F34" s="88">
        <v>3</v>
      </c>
      <c r="G34" s="88">
        <v>4</v>
      </c>
      <c r="H34" s="88">
        <v>5</v>
      </c>
      <c r="I34" s="88">
        <v>6</v>
      </c>
      <c r="J34" s="88">
        <v>7</v>
      </c>
      <c r="K34" s="88">
        <v>8</v>
      </c>
      <c r="L34" s="88">
        <v>9</v>
      </c>
      <c r="M34" s="89">
        <v>10</v>
      </c>
      <c r="N34" s="88">
        <v>11</v>
      </c>
    </row>
    <row r="35" spans="3:15" ht="60">
      <c r="C35" s="90" t="s">
        <v>142</v>
      </c>
      <c r="D35" s="91" t="s">
        <v>143</v>
      </c>
      <c r="E35" s="91" t="s">
        <v>131</v>
      </c>
      <c r="F35" s="91" t="s">
        <v>132</v>
      </c>
      <c r="G35" s="91" t="s">
        <v>133</v>
      </c>
      <c r="H35" s="91" t="s">
        <v>134</v>
      </c>
      <c r="I35" s="91" t="s">
        <v>135</v>
      </c>
      <c r="J35" s="91" t="s">
        <v>136</v>
      </c>
      <c r="K35" s="92" t="s">
        <v>137</v>
      </c>
      <c r="L35" s="91" t="s">
        <v>138</v>
      </c>
      <c r="M35" s="92" t="s">
        <v>139</v>
      </c>
      <c r="N35" s="91" t="s">
        <v>54</v>
      </c>
    </row>
    <row r="36" spans="3:15">
      <c r="C36" s="105" t="s">
        <v>0</v>
      </c>
      <c r="D36" s="94">
        <f>'Forward Basis'!E15</f>
        <v>2571.0308994440002</v>
      </c>
      <c r="E36" s="94">
        <v>0</v>
      </c>
      <c r="F36" s="94">
        <v>0</v>
      </c>
      <c r="G36" s="94">
        <f>'Forward Basis'!L24</f>
        <v>2571.0308994440002</v>
      </c>
      <c r="H36" s="94">
        <f>'Forward Basis'!L45</f>
        <v>2428.5621617335519</v>
      </c>
      <c r="I36" s="94">
        <f>'Forward Basis'!L58</f>
        <v>78.866227609837154</v>
      </c>
      <c r="J36" s="94">
        <v>0</v>
      </c>
      <c r="K36" s="94">
        <f>'Forward Basis'!AA45</f>
        <v>1000.7133243639275</v>
      </c>
      <c r="L36" s="94">
        <f>'Forward Basis'!AO45</f>
        <v>1427.8488373696246</v>
      </c>
      <c r="M36" s="94">
        <f>'Forward Basis'!AA58</f>
        <v>1427.238032975222</v>
      </c>
      <c r="N36" s="94">
        <f>'Forward Basis'!L70</f>
        <v>2428.5621617335519</v>
      </c>
      <c r="O36" s="79" t="s">
        <v>107</v>
      </c>
    </row>
    <row r="37" spans="3:15">
      <c r="C37" s="93" t="s">
        <v>2</v>
      </c>
      <c r="D37" s="94">
        <f>'Forward Basis'!E16</f>
        <v>123.45886671999999</v>
      </c>
      <c r="E37" s="94">
        <v>0</v>
      </c>
      <c r="F37" s="94">
        <f>'Forward Basis'!L35</f>
        <v>79.169226334749155</v>
      </c>
      <c r="G37" s="94">
        <f>'Forward Basis'!L25</f>
        <v>204.30980588685125</v>
      </c>
      <c r="H37" s="94">
        <f>'Forward Basis'!L46</f>
        <v>170.45013336022245</v>
      </c>
      <c r="I37" s="94">
        <f>'Forward Basis'!L59</f>
        <v>32.177959694526749</v>
      </c>
      <c r="J37" s="94">
        <f>'Forward Basis'!AA70</f>
        <v>238.46622688719941</v>
      </c>
      <c r="K37" s="94">
        <f>'Forward Basis'!AA46</f>
        <v>70.235681952413259</v>
      </c>
      <c r="L37" s="94">
        <f>'Forward Basis'!AO46</f>
        <v>100.21445140780918</v>
      </c>
      <c r="M37" s="94">
        <f>'Forward Basis'!AA59</f>
        <v>338.47565631545041</v>
      </c>
      <c r="N37" s="94">
        <f>'Forward Basis'!L71</f>
        <v>408.91636024742184</v>
      </c>
      <c r="O37" s="79" t="s">
        <v>105</v>
      </c>
    </row>
    <row r="38" spans="3:15">
      <c r="C38" s="93" t="s">
        <v>3</v>
      </c>
      <c r="D38" s="94">
        <f>'Forward Basis'!E17</f>
        <v>137.03934205920001</v>
      </c>
      <c r="E38" s="94">
        <f>'Forward Basis'!L40</f>
        <v>2846.9937350181372</v>
      </c>
      <c r="F38" s="94">
        <f>'Forward Basis'!L36</f>
        <v>628.35025901857921</v>
      </c>
      <c r="G38" s="94">
        <f>'Forward Basis'!L26</f>
        <v>3658.7565061777959</v>
      </c>
      <c r="H38" s="94">
        <f>'Forward Basis'!L47</f>
        <v>3241.4428691237185</v>
      </c>
      <c r="I38" s="94">
        <f>'Forward Basis'!L60</f>
        <v>370.94046697219693</v>
      </c>
      <c r="J38" s="94">
        <f>'Forward Basis'!AA71</f>
        <v>1892.6585792084054</v>
      </c>
      <c r="K38" s="94">
        <f>'Forward Basis'!AA47</f>
        <v>1335.6689486511198</v>
      </c>
      <c r="L38" s="94">
        <f>'Forward Basis'!AO47</f>
        <v>1905.773920472599</v>
      </c>
      <c r="M38" s="94">
        <f>'Forward Basis'!AA60</f>
        <v>3798.4324996810046</v>
      </c>
      <c r="N38" s="94">
        <f>'Forward Basis'!L72</f>
        <v>5134.1014483321242</v>
      </c>
      <c r="O38" s="79" t="s">
        <v>105</v>
      </c>
    </row>
    <row r="39" spans="3:15">
      <c r="C39" s="93" t="s">
        <v>4</v>
      </c>
      <c r="D39" s="111">
        <f>'Forward Basis'!E18</f>
        <v>65.433199361599989</v>
      </c>
      <c r="E39" s="111">
        <f>'Forward Basis'!L41</f>
        <v>149.84177552727016</v>
      </c>
      <c r="F39" s="111">
        <v>0</v>
      </c>
      <c r="G39" s="111">
        <f>'Forward Basis'!L27</f>
        <v>215.95977980456053</v>
      </c>
      <c r="H39" s="94">
        <f>'Forward Basis'!L48</f>
        <v>444.59655457465715</v>
      </c>
      <c r="I39" s="94">
        <f>'Forward Basis'!L61</f>
        <v>0</v>
      </c>
      <c r="J39" s="94">
        <v>0</v>
      </c>
      <c r="K39" s="94">
        <f>'Forward Basis'!AA48</f>
        <v>183.20045627803319</v>
      </c>
      <c r="L39" s="94">
        <f>'Forward Basis'!AO48</f>
        <v>261.39609829662396</v>
      </c>
      <c r="M39" s="94">
        <f>'Forward Basis'!AA61</f>
        <v>183.20045627803319</v>
      </c>
      <c r="N39" s="94">
        <f>'Forward Basis'!L73</f>
        <v>444.59655457465715</v>
      </c>
      <c r="O39" s="79"/>
    </row>
    <row r="40" spans="3:15">
      <c r="C40" s="106" t="s">
        <v>5</v>
      </c>
      <c r="D40" s="102">
        <f>'Forward Basis'!E19</f>
        <v>189.50936041519998</v>
      </c>
      <c r="E40" s="102">
        <v>0</v>
      </c>
      <c r="F40" s="102">
        <v>0</v>
      </c>
      <c r="G40" s="102">
        <f>'Forward Basis'!L28</f>
        <v>189.50936041519998</v>
      </c>
      <c r="H40" s="101">
        <f>'Forward Basis'!L49</f>
        <v>0</v>
      </c>
      <c r="I40" s="101">
        <f>'Forward Basis'!L62</f>
        <v>189.50936041519998</v>
      </c>
      <c r="J40" s="101">
        <v>0</v>
      </c>
      <c r="K40" s="101">
        <f>'Forward Basis'!AA49</f>
        <v>0</v>
      </c>
      <c r="L40" s="101">
        <f>'Forward Basis'!AO49</f>
        <v>0</v>
      </c>
      <c r="M40" s="101">
        <f>'Forward Basis'!AA62</f>
        <v>0</v>
      </c>
      <c r="N40" s="101">
        <f>'Forward Basis'!L74</f>
        <v>0</v>
      </c>
      <c r="O40" s="79" t="s">
        <v>106</v>
      </c>
    </row>
    <row r="41" spans="3:15">
      <c r="C41" s="103" t="s">
        <v>14</v>
      </c>
      <c r="D41" s="96">
        <f>SUM(D36:D40)</f>
        <v>3086.4716680000001</v>
      </c>
      <c r="E41" s="96">
        <f t="shared" ref="E41:N41" si="1">SUM(E36:E40)</f>
        <v>2996.8355105454075</v>
      </c>
      <c r="F41" s="96">
        <f t="shared" si="1"/>
        <v>707.51948535332838</v>
      </c>
      <c r="G41" s="96">
        <f t="shared" si="1"/>
        <v>6839.5663517284083</v>
      </c>
      <c r="H41" s="96">
        <f t="shared" si="1"/>
        <v>6285.0517187921505</v>
      </c>
      <c r="I41" s="96">
        <f t="shared" si="1"/>
        <v>671.49401469176087</v>
      </c>
      <c r="J41" s="96">
        <f t="shared" si="1"/>
        <v>2131.124806095605</v>
      </c>
      <c r="K41" s="96">
        <f t="shared" si="1"/>
        <v>2589.8184112454937</v>
      </c>
      <c r="L41" s="96">
        <f t="shared" si="1"/>
        <v>3695.2333075466568</v>
      </c>
      <c r="M41" s="96">
        <f t="shared" si="1"/>
        <v>5747.3466452497105</v>
      </c>
      <c r="N41" s="96">
        <f t="shared" si="1"/>
        <v>8416.1765248877546</v>
      </c>
    </row>
    <row r="42" spans="3:15">
      <c r="C42" s="107"/>
      <c r="D42" s="104"/>
      <c r="E42" s="104"/>
      <c r="F42" s="104"/>
      <c r="G42" s="104"/>
      <c r="H42" s="104"/>
      <c r="I42" s="104"/>
      <c r="J42" s="104"/>
      <c r="K42" s="104"/>
      <c r="L42" s="104"/>
    </row>
    <row r="44" spans="3:15" ht="30">
      <c r="D44" s="108" t="s">
        <v>117</v>
      </c>
      <c r="E44" s="109" t="s">
        <v>114</v>
      </c>
      <c r="F44" s="109" t="s">
        <v>115</v>
      </c>
      <c r="M44" s="30"/>
    </row>
    <row r="45" spans="3:15">
      <c r="D45" s="110" t="s">
        <v>116</v>
      </c>
      <c r="E45" s="94">
        <f>'Forward Basis'!B15/'Forward Basis'!B19</f>
        <v>36.219483388869655</v>
      </c>
      <c r="F45" s="94">
        <f>'Forward Basis'!I24/'Forward Basis'!I28</f>
        <v>36.219483388869655</v>
      </c>
    </row>
    <row r="46" spans="3:15">
      <c r="C46" s="107"/>
      <c r="D46" s="104" t="s">
        <v>118</v>
      </c>
      <c r="E46" s="96">
        <f>'Forward Basis'!B15/'Forward Basis'!B18</f>
        <v>45.822111963404616</v>
      </c>
      <c r="F46" s="96">
        <f>'Forward Basis'!I24/'Forward Basis'!I27</f>
        <v>13.883545306373266</v>
      </c>
      <c r="G46" s="104"/>
      <c r="H46" s="104"/>
      <c r="I46" s="104"/>
      <c r="J46" s="104"/>
      <c r="K46" s="104"/>
      <c r="L46" s="104"/>
    </row>
    <row r="47" spans="3:15">
      <c r="C47" s="12"/>
      <c r="D47" s="76" t="s">
        <v>119</v>
      </c>
      <c r="E47" s="104"/>
      <c r="F47" s="104"/>
      <c r="G47" s="104"/>
      <c r="H47" s="104"/>
      <c r="I47" s="104"/>
      <c r="J47" s="104"/>
      <c r="K47" s="104"/>
      <c r="L47" s="10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Reverse Basis</vt:lpstr>
      <vt:lpstr>Forward Basis</vt:lpstr>
      <vt:lpstr>Basis Fracs</vt:lpstr>
      <vt:lpstr>Presented Balance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2011-02-10T04:42:11Z</dcterms:created>
  <dcterms:modified xsi:type="dcterms:W3CDTF">2011-02-18T01:04:59Z</dcterms:modified>
</cp:coreProperties>
</file>