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775" yWindow="-90" windowWidth="13140" windowHeight="11850" activeTab="1"/>
  </bookViews>
  <sheets>
    <sheet name="Reverse Basis" sheetId="1" r:id="rId1"/>
    <sheet name="Forward Basis" sheetId="2" r:id="rId2"/>
    <sheet name="Basis Fracs" sheetId="3" r:id="rId3"/>
    <sheet name="Sheet1" sheetId="4" r:id="rId4"/>
  </sheets>
  <definedNames>
    <definedName name="solver_adj" localSheetId="1" hidden="1">'Forward Basis'!$P$51</definedName>
    <definedName name="solver_adj" localSheetId="0" hidden="1">'Reverse Basis'!#REF!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'Forward Basis'!$P$51</definedName>
    <definedName name="solver_lin" localSheetId="1" hidden="1">2</definedName>
    <definedName name="solver_lin" localSheetId="0" hidden="1">2</definedName>
    <definedName name="solver_neg" localSheetId="1" hidden="1">2</definedName>
    <definedName name="solver_neg" localSheetId="0" hidden="1">2</definedName>
    <definedName name="solver_num" localSheetId="1" hidden="1">1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'Forward Basis'!$T$46</definedName>
    <definedName name="solver_opt" localSheetId="0" hidden="1">'Reverse Basis'!$H$54</definedName>
    <definedName name="solver_pre" localSheetId="1" hidden="1">0.000001</definedName>
    <definedName name="solver_pre" localSheetId="0" hidden="1">0.000001</definedName>
    <definedName name="solver_rel1" localSheetId="1" hidden="1">3</definedName>
    <definedName name="solver_rhs1" localSheetId="1" hidden="1">1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2</definedName>
    <definedName name="solver_typ" localSheetId="0" hidden="1">3</definedName>
    <definedName name="solver_val" localSheetId="1" hidden="1">0</definedName>
    <definedName name="solver_val" localSheetId="0" hidden="1">1</definedName>
  </definedNames>
  <calcPr calcId="125725"/>
</workbook>
</file>

<file path=xl/calcChain.xml><?xml version="1.0" encoding="utf-8"?>
<calcChain xmlns="http://schemas.openxmlformats.org/spreadsheetml/2006/main">
  <c r="C24" i="2"/>
  <c r="B24"/>
  <c r="C104"/>
  <c r="U66"/>
  <c r="U59"/>
  <c r="U60"/>
  <c r="U61"/>
  <c r="U62"/>
  <c r="U63"/>
  <c r="U64"/>
  <c r="U65"/>
  <c r="U58"/>
  <c r="U45"/>
  <c r="T66"/>
  <c r="T59"/>
  <c r="T60"/>
  <c r="T61"/>
  <c r="T62"/>
  <c r="T63"/>
  <c r="T64"/>
  <c r="T65"/>
  <c r="T58"/>
  <c r="T45"/>
  <c r="S66"/>
  <c r="S59"/>
  <c r="S60"/>
  <c r="S61"/>
  <c r="S62"/>
  <c r="S63"/>
  <c r="S64"/>
  <c r="S65"/>
  <c r="S58"/>
  <c r="R66"/>
  <c r="R59"/>
  <c r="R60"/>
  <c r="R61"/>
  <c r="R62"/>
  <c r="R63"/>
  <c r="R64"/>
  <c r="R65"/>
  <c r="R58"/>
  <c r="Q66"/>
  <c r="Q62"/>
  <c r="Q61"/>
  <c r="Q60"/>
  <c r="Q59"/>
  <c r="R53"/>
  <c r="S53"/>
  <c r="T53"/>
  <c r="U53"/>
  <c r="Q53"/>
  <c r="U46"/>
  <c r="U47"/>
  <c r="U48"/>
  <c r="U49"/>
  <c r="U50"/>
  <c r="U51"/>
  <c r="U52"/>
  <c r="M45"/>
  <c r="T46"/>
  <c r="T47"/>
  <c r="T48"/>
  <c r="T49"/>
  <c r="T50"/>
  <c r="T51"/>
  <c r="T52"/>
  <c r="L45"/>
  <c r="S46"/>
  <c r="S47"/>
  <c r="S48"/>
  <c r="S49"/>
  <c r="S50"/>
  <c r="S51"/>
  <c r="S52"/>
  <c r="S45"/>
  <c r="R46"/>
  <c r="R47"/>
  <c r="R48"/>
  <c r="R49"/>
  <c r="R50"/>
  <c r="R51"/>
  <c r="R52"/>
  <c r="R45"/>
  <c r="Q46"/>
  <c r="Q47"/>
  <c r="Q48"/>
  <c r="Q49"/>
  <c r="Q50"/>
  <c r="Q51"/>
  <c r="Q52"/>
  <c r="Q45"/>
  <c r="C105"/>
  <c r="B105"/>
  <c r="B104"/>
  <c r="B64"/>
  <c r="I74"/>
  <c r="F75"/>
  <c r="F76"/>
  <c r="F77"/>
  <c r="E75"/>
  <c r="E76"/>
  <c r="E77"/>
  <c r="D75"/>
  <c r="D76"/>
  <c r="D77"/>
  <c r="C75"/>
  <c r="C76"/>
  <c r="C77"/>
  <c r="F26" i="1"/>
  <c r="F24"/>
  <c r="C29"/>
  <c r="C25"/>
  <c r="C26"/>
  <c r="C27"/>
  <c r="C28"/>
  <c r="C24"/>
  <c r="J74" i="2"/>
  <c r="K74"/>
  <c r="L74" s="1"/>
  <c r="M74" s="1"/>
  <c r="B77"/>
  <c r="B76"/>
  <c r="M61"/>
  <c r="L61"/>
  <c r="E58"/>
  <c r="K61"/>
  <c r="J61"/>
  <c r="I61"/>
  <c r="F60"/>
  <c r="F61"/>
  <c r="F62"/>
  <c r="F58"/>
  <c r="E60"/>
  <c r="E61"/>
  <c r="E62"/>
  <c r="D60"/>
  <c r="D61"/>
  <c r="D62"/>
  <c r="D58"/>
  <c r="C60"/>
  <c r="C61"/>
  <c r="C62"/>
  <c r="C58"/>
  <c r="M49"/>
  <c r="L49"/>
  <c r="K49"/>
  <c r="J49"/>
  <c r="I49"/>
  <c r="F50"/>
  <c r="F51"/>
  <c r="F52"/>
  <c r="E50"/>
  <c r="E51"/>
  <c r="E52"/>
  <c r="D50"/>
  <c r="D51"/>
  <c r="D52"/>
  <c r="C50"/>
  <c r="C51"/>
  <c r="C52"/>
  <c r="F29" i="3"/>
  <c r="F28"/>
  <c r="B30"/>
  <c r="B28"/>
  <c r="I50" l="1"/>
  <c r="I46"/>
  <c r="I47"/>
  <c r="I48"/>
  <c r="I49"/>
  <c r="I45"/>
  <c r="F46"/>
  <c r="F47"/>
  <c r="F48"/>
  <c r="F49"/>
  <c r="F45"/>
  <c r="G50"/>
  <c r="F50"/>
  <c r="G46"/>
  <c r="G47"/>
  <c r="G48"/>
  <c r="G49"/>
  <c r="G45"/>
  <c r="Q17"/>
  <c r="K28"/>
  <c r="O19"/>
  <c r="N19"/>
  <c r="K19"/>
  <c r="J19"/>
  <c r="J17"/>
  <c r="P28"/>
  <c r="O28"/>
  <c r="L28"/>
  <c r="G28"/>
  <c r="C28"/>
  <c r="D16" i="2"/>
  <c r="D15"/>
  <c r="C15" s="1"/>
  <c r="B15" s="1"/>
  <c r="I24" s="1"/>
  <c r="B14" i="1"/>
  <c r="J14"/>
  <c r="I14"/>
  <c r="I25"/>
  <c r="I26"/>
  <c r="I27"/>
  <c r="I24"/>
  <c r="I23"/>
  <c r="B15"/>
  <c r="I36"/>
  <c r="I32"/>
  <c r="I33"/>
  <c r="I34"/>
  <c r="I35"/>
  <c r="C14"/>
  <c r="B17"/>
  <c r="D16"/>
  <c r="D19"/>
  <c r="B34"/>
  <c r="B32"/>
  <c r="O5" i="3"/>
  <c r="Q18"/>
  <c r="Q19"/>
  <c r="Q20"/>
  <c r="Q21"/>
  <c r="I15" i="1"/>
  <c r="I16"/>
  <c r="I17"/>
  <c r="I18"/>
  <c r="J15"/>
  <c r="J16"/>
  <c r="J17"/>
  <c r="J18"/>
  <c r="J19"/>
  <c r="K18" i="3"/>
  <c r="K20"/>
  <c r="K21"/>
  <c r="K17"/>
  <c r="J18"/>
  <c r="J20"/>
  <c r="J21"/>
  <c r="G29"/>
  <c r="P32"/>
  <c r="P31"/>
  <c r="P30"/>
  <c r="P29"/>
  <c r="O32"/>
  <c r="O31"/>
  <c r="O30"/>
  <c r="O29"/>
  <c r="P33"/>
  <c r="O33"/>
  <c r="L36"/>
  <c r="K36"/>
  <c r="L29"/>
  <c r="L30"/>
  <c r="L31"/>
  <c r="L32"/>
  <c r="L33"/>
  <c r="L34"/>
  <c r="L35"/>
  <c r="K29"/>
  <c r="K30"/>
  <c r="K31"/>
  <c r="K32"/>
  <c r="K33"/>
  <c r="K34"/>
  <c r="K35"/>
  <c r="B29"/>
  <c r="C29" s="1"/>
  <c r="B31"/>
  <c r="C31" s="1"/>
  <c r="B32"/>
  <c r="F31" s="1"/>
  <c r="G31" s="1"/>
  <c r="B33"/>
  <c r="C33" s="1"/>
  <c r="B34"/>
  <c r="F32" s="1"/>
  <c r="B35"/>
  <c r="C35" s="1"/>
  <c r="B36"/>
  <c r="O6"/>
  <c r="O7"/>
  <c r="O8"/>
  <c r="O9"/>
  <c r="O10"/>
  <c r="O11"/>
  <c r="O12"/>
  <c r="K5"/>
  <c r="O13"/>
  <c r="K13"/>
  <c r="J13"/>
  <c r="K6"/>
  <c r="K7"/>
  <c r="K8"/>
  <c r="K9"/>
  <c r="K10"/>
  <c r="K11"/>
  <c r="K12"/>
  <c r="E16" i="2"/>
  <c r="D17"/>
  <c r="F17" s="1"/>
  <c r="D18"/>
  <c r="E18" s="1"/>
  <c r="D19"/>
  <c r="F19" s="1"/>
  <c r="F15"/>
  <c r="I25" l="1"/>
  <c r="I28"/>
  <c r="I27"/>
  <c r="I26"/>
  <c r="C34" i="3"/>
  <c r="C32"/>
  <c r="C30"/>
  <c r="F30"/>
  <c r="G30" s="1"/>
  <c r="G32"/>
  <c r="F16" i="2"/>
  <c r="C16"/>
  <c r="B16" s="1"/>
  <c r="E15"/>
  <c r="C18"/>
  <c r="B18" s="1"/>
  <c r="F18"/>
  <c r="E19"/>
  <c r="E17"/>
  <c r="C19"/>
  <c r="B19" s="1"/>
  <c r="C17"/>
  <c r="B17" s="1"/>
  <c r="D20"/>
  <c r="F33" i="3" l="1"/>
  <c r="C36"/>
  <c r="N21"/>
  <c r="N20"/>
  <c r="G33"/>
  <c r="O21" s="1"/>
  <c r="B20" i="2"/>
  <c r="E20"/>
  <c r="B100" s="1"/>
  <c r="B98" s="1"/>
  <c r="F20"/>
  <c r="C20"/>
  <c r="B96" l="1"/>
  <c r="B95"/>
  <c r="B97"/>
  <c r="B99"/>
  <c r="N18" i="3"/>
  <c r="N17"/>
  <c r="O20"/>
  <c r="O17"/>
  <c r="O18"/>
  <c r="J26" i="2"/>
  <c r="K26" s="1"/>
  <c r="L26" s="1"/>
  <c r="M26" s="1"/>
  <c r="J25"/>
  <c r="K25" s="1"/>
  <c r="L25" s="1"/>
  <c r="M25" s="1"/>
  <c r="J28"/>
  <c r="K28" s="1"/>
  <c r="L28" s="1"/>
  <c r="M28" s="1"/>
  <c r="J27" l="1"/>
  <c r="K27" s="1"/>
  <c r="L27" s="1"/>
  <c r="M27" s="1"/>
  <c r="J24"/>
  <c r="I29"/>
  <c r="E9" i="1"/>
  <c r="E11"/>
  <c r="E10"/>
  <c r="B18"/>
  <c r="B16"/>
  <c r="J29" i="2" l="1"/>
  <c r="K24"/>
  <c r="K15" i="1"/>
  <c r="M15" s="1"/>
  <c r="K17"/>
  <c r="M17" s="1"/>
  <c r="E8"/>
  <c r="C18" s="1"/>
  <c r="D18" s="1"/>
  <c r="E7"/>
  <c r="C17" s="1"/>
  <c r="D17" s="1"/>
  <c r="E6"/>
  <c r="E5"/>
  <c r="E4"/>
  <c r="C26" i="2" l="1"/>
  <c r="C28"/>
  <c r="C30"/>
  <c r="C25"/>
  <c r="C27"/>
  <c r="C29"/>
  <c r="C31"/>
  <c r="K29"/>
  <c r="L24"/>
  <c r="L15" i="1"/>
  <c r="L17"/>
  <c r="C16"/>
  <c r="C15"/>
  <c r="D15" s="1"/>
  <c r="B31" i="2" l="1"/>
  <c r="B65" s="1"/>
  <c r="C65" s="1"/>
  <c r="D65" s="1"/>
  <c r="E65" s="1"/>
  <c r="F65" s="1"/>
  <c r="D31"/>
  <c r="B27"/>
  <c r="B48" s="1"/>
  <c r="C48" s="1"/>
  <c r="D48" s="1"/>
  <c r="D27"/>
  <c r="D24"/>
  <c r="F24" s="1"/>
  <c r="C32"/>
  <c r="B28"/>
  <c r="B49" s="1"/>
  <c r="D28"/>
  <c r="B29"/>
  <c r="B63" s="1"/>
  <c r="D29"/>
  <c r="B25"/>
  <c r="D25"/>
  <c r="B30"/>
  <c r="D30"/>
  <c r="B26"/>
  <c r="D26"/>
  <c r="M24"/>
  <c r="M29" s="1"/>
  <c r="L29"/>
  <c r="K16" i="1"/>
  <c r="M16" s="1"/>
  <c r="B19"/>
  <c r="D14"/>
  <c r="C19"/>
  <c r="E16"/>
  <c r="F16"/>
  <c r="I62" i="2" l="1"/>
  <c r="J62" s="1"/>
  <c r="K62" s="1"/>
  <c r="C64"/>
  <c r="D64" s="1"/>
  <c r="E64" s="1"/>
  <c r="F64" s="1"/>
  <c r="I59"/>
  <c r="J59" s="1"/>
  <c r="K59" s="1"/>
  <c r="C63"/>
  <c r="D63" s="1"/>
  <c r="E63" s="1"/>
  <c r="F63" s="1"/>
  <c r="C49"/>
  <c r="D49" s="1"/>
  <c r="B74"/>
  <c r="I48"/>
  <c r="J48" s="1"/>
  <c r="K48" s="1"/>
  <c r="B45"/>
  <c r="E48"/>
  <c r="F48"/>
  <c r="B35"/>
  <c r="C35" s="1"/>
  <c r="B47"/>
  <c r="B46"/>
  <c r="B59"/>
  <c r="B32"/>
  <c r="E26"/>
  <c r="F26"/>
  <c r="E30"/>
  <c r="F30"/>
  <c r="F25"/>
  <c r="E25"/>
  <c r="E29"/>
  <c r="F29"/>
  <c r="E28"/>
  <c r="F28"/>
  <c r="D32"/>
  <c r="E24"/>
  <c r="E27"/>
  <c r="F27"/>
  <c r="E31"/>
  <c r="F31"/>
  <c r="B36" i="1"/>
  <c r="B38"/>
  <c r="B33"/>
  <c r="C32"/>
  <c r="B35"/>
  <c r="B37"/>
  <c r="B39"/>
  <c r="C39" s="1"/>
  <c r="D39" s="1"/>
  <c r="C33"/>
  <c r="D33" s="1"/>
  <c r="I19"/>
  <c r="E14"/>
  <c r="L16"/>
  <c r="E17"/>
  <c r="F17"/>
  <c r="F14"/>
  <c r="E18"/>
  <c r="F18"/>
  <c r="F15"/>
  <c r="E15"/>
  <c r="C59" i="2" l="1"/>
  <c r="I60"/>
  <c r="J60" s="1"/>
  <c r="K60" s="1"/>
  <c r="I58"/>
  <c r="B66"/>
  <c r="B71"/>
  <c r="C46"/>
  <c r="D46" s="1"/>
  <c r="M48"/>
  <c r="L48"/>
  <c r="F49"/>
  <c r="E49"/>
  <c r="M59"/>
  <c r="L59"/>
  <c r="M62"/>
  <c r="L62"/>
  <c r="B40"/>
  <c r="C47"/>
  <c r="D47" s="1"/>
  <c r="B72"/>
  <c r="I46"/>
  <c r="J46" s="1"/>
  <c r="K46" s="1"/>
  <c r="B73"/>
  <c r="I47"/>
  <c r="J47" s="1"/>
  <c r="K47" s="1"/>
  <c r="I45"/>
  <c r="B53"/>
  <c r="C45"/>
  <c r="B70"/>
  <c r="Q70" s="1"/>
  <c r="R70" s="1"/>
  <c r="S70" s="1"/>
  <c r="I73"/>
  <c r="C74"/>
  <c r="D74" s="1"/>
  <c r="E74" s="1"/>
  <c r="F74" s="1"/>
  <c r="I35"/>
  <c r="D35"/>
  <c r="I36"/>
  <c r="J36" s="1"/>
  <c r="K36" s="1"/>
  <c r="L36" s="1"/>
  <c r="M36" s="1"/>
  <c r="E32"/>
  <c r="F100" s="1"/>
  <c r="F98" s="1"/>
  <c r="F32"/>
  <c r="J23" i="1"/>
  <c r="I28"/>
  <c r="C34"/>
  <c r="D34" s="1"/>
  <c r="F33"/>
  <c r="E33"/>
  <c r="E39"/>
  <c r="F39"/>
  <c r="D32"/>
  <c r="K23"/>
  <c r="K14"/>
  <c r="E19"/>
  <c r="F19"/>
  <c r="J73" i="2" l="1"/>
  <c r="K73" s="1"/>
  <c r="D45"/>
  <c r="C53"/>
  <c r="J45"/>
  <c r="I50"/>
  <c r="C73"/>
  <c r="D73" s="1"/>
  <c r="E73" s="1"/>
  <c r="F73" s="1"/>
  <c r="I71"/>
  <c r="C72"/>
  <c r="D72" s="1"/>
  <c r="E72" s="1"/>
  <c r="F72" s="1"/>
  <c r="E35"/>
  <c r="F35" s="1"/>
  <c r="I70"/>
  <c r="I72"/>
  <c r="B78"/>
  <c r="AB7" s="1"/>
  <c r="M95"/>
  <c r="C70"/>
  <c r="M47"/>
  <c r="L47"/>
  <c r="M46"/>
  <c r="L46"/>
  <c r="F47"/>
  <c r="E47"/>
  <c r="C71"/>
  <c r="D71" s="1"/>
  <c r="E71" s="1"/>
  <c r="F71" s="1"/>
  <c r="AB5"/>
  <c r="J58"/>
  <c r="I63"/>
  <c r="D59"/>
  <c r="C66"/>
  <c r="F96"/>
  <c r="F95"/>
  <c r="F99"/>
  <c r="U70"/>
  <c r="T70"/>
  <c r="B41"/>
  <c r="C41" s="1"/>
  <c r="D41" s="1"/>
  <c r="E41" s="1"/>
  <c r="F41" s="1"/>
  <c r="E46"/>
  <c r="F46"/>
  <c r="M60"/>
  <c r="L60"/>
  <c r="F97"/>
  <c r="C40"/>
  <c r="C42" s="1"/>
  <c r="I40"/>
  <c r="J40" s="1"/>
  <c r="K40" s="1"/>
  <c r="L40" s="1"/>
  <c r="M40" s="1"/>
  <c r="I37"/>
  <c r="J35"/>
  <c r="F32" i="1"/>
  <c r="E32"/>
  <c r="J25"/>
  <c r="K25" s="1"/>
  <c r="J27"/>
  <c r="J26"/>
  <c r="J32"/>
  <c r="B40"/>
  <c r="C37"/>
  <c r="D37" s="1"/>
  <c r="F34"/>
  <c r="E34"/>
  <c r="M14"/>
  <c r="L14"/>
  <c r="C38"/>
  <c r="D38" s="1"/>
  <c r="J36"/>
  <c r="K36" s="1"/>
  <c r="C35"/>
  <c r="J35"/>
  <c r="K35" s="1"/>
  <c r="C36"/>
  <c r="D36" s="1"/>
  <c r="L23"/>
  <c r="M23"/>
  <c r="K19"/>
  <c r="M19"/>
  <c r="L19"/>
  <c r="G56" s="1"/>
  <c r="B42" i="2" l="1"/>
  <c r="E59"/>
  <c r="D66"/>
  <c r="J63"/>
  <c r="K58"/>
  <c r="D70"/>
  <c r="C78"/>
  <c r="AB10"/>
  <c r="AB9"/>
  <c r="AB11"/>
  <c r="AB8"/>
  <c r="K45"/>
  <c r="J50"/>
  <c r="F45"/>
  <c r="F53" s="1"/>
  <c r="E45"/>
  <c r="E53" s="1"/>
  <c r="D53"/>
  <c r="AC4" s="1"/>
  <c r="L73"/>
  <c r="M73" s="1"/>
  <c r="AB4"/>
  <c r="AB6"/>
  <c r="J72"/>
  <c r="K72" s="1"/>
  <c r="I75"/>
  <c r="AG16" s="1"/>
  <c r="J70"/>
  <c r="J71"/>
  <c r="K71" s="1"/>
  <c r="K35"/>
  <c r="J37"/>
  <c r="D40"/>
  <c r="G59" i="1"/>
  <c r="G61"/>
  <c r="G60"/>
  <c r="G58"/>
  <c r="G57"/>
  <c r="J24"/>
  <c r="K24" s="1"/>
  <c r="L24" s="1"/>
  <c r="B44"/>
  <c r="K32"/>
  <c r="I45"/>
  <c r="I44"/>
  <c r="F36"/>
  <c r="E36"/>
  <c r="C44"/>
  <c r="D44" s="1"/>
  <c r="B50"/>
  <c r="I50" s="1"/>
  <c r="D35"/>
  <c r="C40"/>
  <c r="F38"/>
  <c r="E38"/>
  <c r="F37"/>
  <c r="E37"/>
  <c r="I37"/>
  <c r="J33"/>
  <c r="J34"/>
  <c r="K34" s="1"/>
  <c r="L25"/>
  <c r="M25"/>
  <c r="M35"/>
  <c r="L35"/>
  <c r="M36"/>
  <c r="L36"/>
  <c r="K26"/>
  <c r="K27"/>
  <c r="AB12" i="2" l="1"/>
  <c r="I87"/>
  <c r="AG20"/>
  <c r="AG19"/>
  <c r="E40"/>
  <c r="D42"/>
  <c r="J75"/>
  <c r="J87" s="1"/>
  <c r="K70"/>
  <c r="AC9"/>
  <c r="AC11"/>
  <c r="AC10"/>
  <c r="AC7"/>
  <c r="AC8"/>
  <c r="AC6"/>
  <c r="AC12" s="1"/>
  <c r="AC5"/>
  <c r="M50"/>
  <c r="L50"/>
  <c r="K50"/>
  <c r="E70"/>
  <c r="D78"/>
  <c r="F59"/>
  <c r="F66" s="1"/>
  <c r="E66"/>
  <c r="AG17"/>
  <c r="AG18"/>
  <c r="L71"/>
  <c r="M71" s="1"/>
  <c r="L72"/>
  <c r="M72" s="1"/>
  <c r="M58"/>
  <c r="M63" s="1"/>
  <c r="L58"/>
  <c r="L63" s="1"/>
  <c r="K63"/>
  <c r="I41"/>
  <c r="L35"/>
  <c r="K37"/>
  <c r="M24" i="1"/>
  <c r="L32"/>
  <c r="M32"/>
  <c r="J44"/>
  <c r="J45"/>
  <c r="K45" s="1"/>
  <c r="J50"/>
  <c r="I46"/>
  <c r="AD17" s="1"/>
  <c r="K33"/>
  <c r="J37"/>
  <c r="E44"/>
  <c r="C56" s="1"/>
  <c r="F44"/>
  <c r="E35"/>
  <c r="E40" s="1"/>
  <c r="F56" s="1"/>
  <c r="F35"/>
  <c r="F40" s="1"/>
  <c r="D40"/>
  <c r="L34"/>
  <c r="M34"/>
  <c r="C50"/>
  <c r="L27"/>
  <c r="M27"/>
  <c r="L26"/>
  <c r="L28" s="1"/>
  <c r="B56" s="1"/>
  <c r="M26"/>
  <c r="K28"/>
  <c r="J28"/>
  <c r="AG21" i="2" l="1"/>
  <c r="F70"/>
  <c r="F78" s="1"/>
  <c r="E78"/>
  <c r="L70"/>
  <c r="K75"/>
  <c r="AH16" s="1"/>
  <c r="I84"/>
  <c r="I86"/>
  <c r="I83"/>
  <c r="I85"/>
  <c r="I82"/>
  <c r="J84"/>
  <c r="J86"/>
  <c r="K86" s="1"/>
  <c r="L86" s="1"/>
  <c r="M86" s="1"/>
  <c r="J83"/>
  <c r="J85"/>
  <c r="J82"/>
  <c r="F40"/>
  <c r="F42" s="1"/>
  <c r="E42"/>
  <c r="D100" s="1"/>
  <c r="D97" s="1"/>
  <c r="I42"/>
  <c r="J41"/>
  <c r="L37"/>
  <c r="C100" s="1"/>
  <c r="C96" s="1"/>
  <c r="M35"/>
  <c r="M37" s="1"/>
  <c r="B58" i="1"/>
  <c r="B60"/>
  <c r="B57"/>
  <c r="B59"/>
  <c r="B61"/>
  <c r="F58"/>
  <c r="F59"/>
  <c r="F60"/>
  <c r="F61"/>
  <c r="F57"/>
  <c r="C60"/>
  <c r="C57"/>
  <c r="C61"/>
  <c r="M45"/>
  <c r="L45"/>
  <c r="AD18"/>
  <c r="J46"/>
  <c r="K44"/>
  <c r="K50"/>
  <c r="D50"/>
  <c r="C51"/>
  <c r="M33"/>
  <c r="M37" s="1"/>
  <c r="K37"/>
  <c r="L33"/>
  <c r="L37" s="1"/>
  <c r="M28"/>
  <c r="C99" i="2" l="1"/>
  <c r="C98"/>
  <c r="C95"/>
  <c r="AH20"/>
  <c r="AH19"/>
  <c r="AH17"/>
  <c r="AH18"/>
  <c r="L75"/>
  <c r="G100" s="1"/>
  <c r="M70"/>
  <c r="M75" s="1"/>
  <c r="E97"/>
  <c r="C97"/>
  <c r="D98"/>
  <c r="D95"/>
  <c r="E95" s="1"/>
  <c r="D96"/>
  <c r="E96" s="1"/>
  <c r="D99"/>
  <c r="E99" s="1"/>
  <c r="E98"/>
  <c r="E100"/>
  <c r="J42"/>
  <c r="K41"/>
  <c r="L44" i="1"/>
  <c r="L46" s="1"/>
  <c r="M44"/>
  <c r="M46" s="1"/>
  <c r="K46"/>
  <c r="AE18" s="1"/>
  <c r="C59" s="1"/>
  <c r="M50"/>
  <c r="L50"/>
  <c r="E50"/>
  <c r="E51" s="1"/>
  <c r="F50"/>
  <c r="F51" s="1"/>
  <c r="F52" s="1"/>
  <c r="D51"/>
  <c r="D52" s="1"/>
  <c r="Z5" s="1"/>
  <c r="C52"/>
  <c r="B51"/>
  <c r="B52" s="1"/>
  <c r="I51" s="1"/>
  <c r="AH21" i="2" l="1"/>
  <c r="G97"/>
  <c r="G99"/>
  <c r="G96"/>
  <c r="G98"/>
  <c r="G95"/>
  <c r="K42"/>
  <c r="L41"/>
  <c r="AE17" i="1"/>
  <c r="C58" s="1"/>
  <c r="Z4"/>
  <c r="Y4"/>
  <c r="E52"/>
  <c r="D56"/>
  <c r="D60" s="1"/>
  <c r="M41" i="2" l="1"/>
  <c r="M42" s="1"/>
  <c r="L42"/>
  <c r="D58" i="1"/>
  <c r="E58" s="1"/>
  <c r="E60"/>
  <c r="D57"/>
  <c r="E57" s="1"/>
  <c r="D59"/>
  <c r="E59" s="1"/>
  <c r="D61"/>
  <c r="E61" s="1"/>
  <c r="Y5"/>
  <c r="E56"/>
  <c r="I52" l="1"/>
  <c r="AA18" s="1"/>
  <c r="J51"/>
  <c r="AA19"/>
  <c r="K51" l="1"/>
  <c r="J52"/>
  <c r="AA21"/>
  <c r="M51" l="1"/>
  <c r="M52" s="1"/>
  <c r="L51"/>
  <c r="L52" s="1"/>
  <c r="K52"/>
  <c r="AB18" s="1"/>
  <c r="AB19" l="1"/>
  <c r="AB21" s="1"/>
  <c r="K85" i="2" l="1"/>
  <c r="L85" s="1"/>
  <c r="M85" s="1"/>
  <c r="K84" l="1"/>
  <c r="L84" s="1"/>
  <c r="M84" s="1"/>
  <c r="K83" l="1"/>
  <c r="L83" s="1"/>
  <c r="M83" s="1"/>
  <c r="C83"/>
  <c r="B83" s="1"/>
  <c r="K82"/>
  <c r="C84" l="1"/>
  <c r="B84" s="1"/>
  <c r="D83"/>
  <c r="E83" s="1"/>
  <c r="F83" s="1"/>
  <c r="C85"/>
  <c r="C82"/>
  <c r="B82" s="1"/>
  <c r="C86"/>
  <c r="C88"/>
  <c r="C87"/>
  <c r="C89"/>
  <c r="K87"/>
  <c r="L82"/>
  <c r="D86"/>
  <c r="E86" s="1"/>
  <c r="F86" s="1"/>
  <c r="B89" l="1"/>
  <c r="B88"/>
  <c r="B85"/>
  <c r="K95" s="1"/>
  <c r="B87"/>
  <c r="B86"/>
  <c r="D85"/>
  <c r="E85" s="1"/>
  <c r="F85" s="1"/>
  <c r="D89"/>
  <c r="E89" s="1"/>
  <c r="F89" s="1"/>
  <c r="C90"/>
  <c r="D84"/>
  <c r="E84" s="1"/>
  <c r="F84" s="1"/>
  <c r="D87"/>
  <c r="E87" s="1"/>
  <c r="F87" s="1"/>
  <c r="L87"/>
  <c r="M82"/>
  <c r="M87" s="1"/>
  <c r="D88"/>
  <c r="E88" s="1"/>
  <c r="F88" s="1"/>
  <c r="D82"/>
  <c r="D90" l="1"/>
  <c r="E82"/>
  <c r="E90" l="1"/>
  <c r="F82"/>
  <c r="F90" s="1"/>
  <c r="B90"/>
</calcChain>
</file>

<file path=xl/sharedStrings.xml><?xml version="1.0" encoding="utf-8"?>
<sst xmlns="http://schemas.openxmlformats.org/spreadsheetml/2006/main" count="689" uniqueCount="130">
  <si>
    <t>C</t>
  </si>
  <si>
    <t>Elemental MW (g/mol)</t>
  </si>
  <si>
    <t>H</t>
  </si>
  <si>
    <t>O</t>
  </si>
  <si>
    <t>N</t>
  </si>
  <si>
    <t>S</t>
  </si>
  <si>
    <t>Componet MW (g/mol)</t>
  </si>
  <si>
    <t>CO</t>
  </si>
  <si>
    <t>CO2</t>
  </si>
  <si>
    <t>CH4</t>
  </si>
  <si>
    <t>H2</t>
  </si>
  <si>
    <t>N2</t>
  </si>
  <si>
    <t>Metric Tons/day</t>
  </si>
  <si>
    <t>Bar</t>
  </si>
  <si>
    <t>Total</t>
  </si>
  <si>
    <t>Moles/day</t>
  </si>
  <si>
    <t>Moles/     day</t>
  </si>
  <si>
    <t>Grams/    day</t>
  </si>
  <si>
    <t>Metric tons/day</t>
  </si>
  <si>
    <t>Tons/day</t>
  </si>
  <si>
    <t>Grams/day</t>
  </si>
  <si>
    <t>Lbs/day</t>
  </si>
  <si>
    <t>H2O</t>
  </si>
  <si>
    <t>H2S</t>
  </si>
  <si>
    <t>COS</t>
  </si>
  <si>
    <t>Mass</t>
  </si>
  <si>
    <t xml:space="preserve">FINAL SYNGAS </t>
  </si>
  <si>
    <t>COMPONENTS FRACTIONS</t>
  </si>
  <si>
    <t xml:space="preserve">Molar </t>
  </si>
  <si>
    <t>RAW SYNGAS</t>
  </si>
  <si>
    <t>*</t>
  </si>
  <si>
    <t>**</t>
  </si>
  <si>
    <t>PETCOKE</t>
  </si>
  <si>
    <t>ELEMENTAL FRACTIONS</t>
  </si>
  <si>
    <t>Chemical Production  Reqs</t>
  </si>
  <si>
    <t xml:space="preserve">Basis:  </t>
  </si>
  <si>
    <t>grams/day</t>
  </si>
  <si>
    <t>Petcoke Elemental Flow</t>
  </si>
  <si>
    <t>***</t>
  </si>
  <si>
    <t>Total Petcoke</t>
  </si>
  <si>
    <t>Raw Syngas   Component    Flow</t>
  </si>
  <si>
    <t>Raw Syngas  Elemental Flow</t>
  </si>
  <si>
    <t>Specified by production group ( can vary)</t>
  </si>
  <si>
    <t>Specificed by  literature reviews for typical operation (can vary)</t>
  </si>
  <si>
    <t>Specified by literature review for typical composition (can vary)</t>
  </si>
  <si>
    <t>Assumptions:</t>
  </si>
  <si>
    <t xml:space="preserve">2) All sulfur compounds are assumed to be removed </t>
  </si>
  <si>
    <t>MOLES OF FINAL SYNGAS ( solved in order to produce 3000 M.Tons of final syngas)</t>
  </si>
  <si>
    <t>1) Lost carbons are entire CO2 , COS and fudge factor of .0009 molar fraction pcoke carbons are lost between raw syn and final syn</t>
  </si>
  <si>
    <t>Grams/Day</t>
  </si>
  <si>
    <t>Petcoke</t>
  </si>
  <si>
    <t>Mass Flow (Tons/day)</t>
  </si>
  <si>
    <t>Steam</t>
  </si>
  <si>
    <t>O2/N2</t>
  </si>
  <si>
    <t>Final Syngas</t>
  </si>
  <si>
    <t>Raw Syngas</t>
  </si>
  <si>
    <t>Total IN</t>
  </si>
  <si>
    <t>Mole/day</t>
  </si>
  <si>
    <t>Basis:</t>
  </si>
  <si>
    <t>Metric Tons/day of Pet Coke</t>
  </si>
  <si>
    <t>Raw Syngas   Elemental   Flow</t>
  </si>
  <si>
    <t>O2</t>
  </si>
  <si>
    <t>Steam Component Flow</t>
  </si>
  <si>
    <t>Steam Elemental Flow</t>
  </si>
  <si>
    <t>O2(95w%)/N2 Component Flow</t>
  </si>
  <si>
    <t>O2(95w%)/   N2     Elemental Flow</t>
  </si>
  <si>
    <t>Final Syngas Component Flow</t>
  </si>
  <si>
    <t xml:space="preserve">Final Syngas  Element Flow </t>
  </si>
  <si>
    <t>Petcoke Composition Flow Is not a possible criteria</t>
  </si>
  <si>
    <t>ASU</t>
  </si>
  <si>
    <t>CHECK WORK:</t>
  </si>
  <si>
    <t>Total Flow</t>
  </si>
  <si>
    <t>CO2*</t>
  </si>
  <si>
    <t>H2*</t>
  </si>
  <si>
    <t xml:space="preserve">more comes out cause water added </t>
  </si>
  <si>
    <t>Diffrence due to coal raw syngas composition vs petcoke composition</t>
  </si>
  <si>
    <t>Molar *</t>
  </si>
  <si>
    <t>Molar **</t>
  </si>
  <si>
    <t>Molar Basis:</t>
  </si>
  <si>
    <t>moles/day basis</t>
  </si>
  <si>
    <t>Moles</t>
  </si>
  <si>
    <t>Grams</t>
  </si>
  <si>
    <t>Components</t>
  </si>
  <si>
    <t>Elemental</t>
  </si>
  <si>
    <t>FINAL SYNGAS</t>
  </si>
  <si>
    <t>Mass***</t>
  </si>
  <si>
    <t>mole frac</t>
  </si>
  <si>
    <t>Moles**</t>
  </si>
  <si>
    <t>Moles*</t>
  </si>
  <si>
    <t>Grams***</t>
  </si>
  <si>
    <t>Astrik means specified by literature</t>
  </si>
  <si>
    <t>Mass Basis:</t>
  </si>
  <si>
    <t>grams/day basis</t>
  </si>
  <si>
    <t>Clean Syngas Component Flow</t>
  </si>
  <si>
    <t>Streams</t>
  </si>
  <si>
    <t>In Pollutant  Component Flow</t>
  </si>
  <si>
    <t>Clean Syngas Elemental Flow</t>
  </si>
  <si>
    <t>In Pollutant  Elemental Flow</t>
  </si>
  <si>
    <t>CO2* assuming only 20%mole  is absorbed into the cleaning process</t>
  </si>
  <si>
    <t>Actual Final Syn Component Flow</t>
  </si>
  <si>
    <t>Actual Final Syn Elemental Flow</t>
  </si>
  <si>
    <t>Desired Final Syn Component Flow</t>
  </si>
  <si>
    <t>Desired Final Syn Elemental Flow</t>
  </si>
  <si>
    <t>Actual Final Syngas</t>
  </si>
  <si>
    <t>co/h2</t>
  </si>
  <si>
    <t>c/h</t>
  </si>
  <si>
    <t xml:space="preserve">Conversion of CO in WGS is </t>
  </si>
  <si>
    <t xml:space="preserve">due to water loss and wgs water in </t>
  </si>
  <si>
    <t>due to sulfur removal</t>
  </si>
  <si>
    <t>due to 20% mole CO2 loss</t>
  </si>
  <si>
    <t xml:space="preserve">fraction to achive proper ratios </t>
  </si>
  <si>
    <t>Desired CO/H2</t>
  </si>
  <si>
    <t>Actual CO/H2</t>
  </si>
  <si>
    <t>Assuming petcoke gets converted like literature says</t>
  </si>
  <si>
    <t>Assuming all H2S COS H2O are completely removed in absorber proccess along with 20%mole CO2</t>
  </si>
  <si>
    <t>Total IN Gasifier</t>
  </si>
  <si>
    <t xml:space="preserve">PetCoke </t>
  </si>
  <si>
    <t>RawSyngas</t>
  </si>
  <si>
    <t>C/S</t>
  </si>
  <si>
    <t>Molar Ratio</t>
  </si>
  <si>
    <t>Mole Ratio Flow</t>
  </si>
  <si>
    <t>C/N</t>
  </si>
  <si>
    <t xml:space="preserve"> </t>
  </si>
  <si>
    <t>Differences are due to the rawsyn composition is from a coal feed gasifier and hence the C/S/N ratios are off</t>
  </si>
  <si>
    <t>DON’T  LOOK AT THIS SHEET</t>
  </si>
  <si>
    <t>Split Away Clean Syngas Component Flow</t>
  </si>
  <si>
    <t>Shifted Syngas Component Flow</t>
  </si>
  <si>
    <t xml:space="preserve">Assuming all water feed reacted with all the CO aka 100 percent conversion </t>
  </si>
  <si>
    <t>Only look at these two streams if there is a split before the WGS</t>
  </si>
  <si>
    <t>H20 IN WGS Component Flow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</si>
</sst>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Border="1"/>
    <xf numFmtId="0" fontId="0" fillId="0" borderId="0" xfId="0" applyAlignment="1">
      <alignment vertical="top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4" xfId="0" applyBorder="1"/>
    <xf numFmtId="0" fontId="1" fillId="0" borderId="0" xfId="0" applyFont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0" fillId="0" borderId="7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3" xfId="0" applyBorder="1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" fillId="3" borderId="0" xfId="0" applyFont="1" applyFill="1" applyBorder="1"/>
    <xf numFmtId="0" fontId="0" fillId="0" borderId="2" xfId="0" applyBorder="1"/>
    <xf numFmtId="0" fontId="0" fillId="0" borderId="6" xfId="0" applyBorder="1"/>
    <xf numFmtId="0" fontId="0" fillId="0" borderId="7" xfId="0" applyFill="1" applyBorder="1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1" fontId="1" fillId="0" borderId="0" xfId="0" applyNumberFormat="1" applyFont="1"/>
    <xf numFmtId="1" fontId="0" fillId="3" borderId="0" xfId="0" applyNumberFormat="1" applyFill="1"/>
    <xf numFmtId="0" fontId="4" fillId="0" borderId="0" xfId="0" applyFont="1" applyAlignment="1">
      <alignment vertical="top" wrapText="1"/>
    </xf>
    <xf numFmtId="164" fontId="0" fillId="0" borderId="0" xfId="0" applyNumberFormat="1" applyFont="1" applyBorder="1"/>
    <xf numFmtId="164" fontId="0" fillId="0" borderId="0" xfId="0" applyNumberFormat="1" applyFont="1" applyFill="1" applyBorder="1"/>
    <xf numFmtId="164" fontId="0" fillId="0" borderId="0" xfId="0" applyNumberFormat="1" applyBorder="1"/>
    <xf numFmtId="0" fontId="1" fillId="0" borderId="0" xfId="0" applyFont="1" applyAlignment="1">
      <alignment vertical="top" wrapText="1"/>
    </xf>
    <xf numFmtId="0" fontId="0" fillId="3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Fill="1"/>
    <xf numFmtId="1" fontId="0" fillId="4" borderId="0" xfId="0" applyNumberFormat="1" applyFill="1"/>
    <xf numFmtId="0" fontId="0" fillId="4" borderId="0" xfId="0" applyFill="1"/>
    <xf numFmtId="1" fontId="0" fillId="0" borderId="0" xfId="0" applyNumberFormat="1" applyFill="1"/>
    <xf numFmtId="1" fontId="0" fillId="5" borderId="0" xfId="0" applyNumberFormat="1" applyFill="1"/>
    <xf numFmtId="0" fontId="0" fillId="6" borderId="0" xfId="0" applyFill="1"/>
    <xf numFmtId="0" fontId="1" fillId="6" borderId="0" xfId="0" applyFont="1" applyFill="1"/>
    <xf numFmtId="0" fontId="1" fillId="7" borderId="0" xfId="0" applyFont="1" applyFill="1"/>
    <xf numFmtId="0" fontId="0" fillId="7" borderId="0" xfId="0" applyFill="1"/>
    <xf numFmtId="0" fontId="0" fillId="5" borderId="0" xfId="0" applyFill="1"/>
    <xf numFmtId="0" fontId="1" fillId="5" borderId="0" xfId="0" applyFont="1" applyFill="1"/>
    <xf numFmtId="0" fontId="1" fillId="0" borderId="0" xfId="0" applyFont="1" applyFill="1"/>
    <xf numFmtId="0" fontId="4" fillId="5" borderId="0" xfId="0" applyFont="1" applyFill="1" applyAlignment="1">
      <alignment vertical="top" wrapText="1"/>
    </xf>
    <xf numFmtId="1" fontId="0" fillId="8" borderId="0" xfId="0" applyNumberFormat="1" applyFill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4" fillId="5" borderId="0" xfId="0" applyFont="1" applyFill="1" applyAlignment="1">
      <alignment wrapText="1"/>
    </xf>
    <xf numFmtId="1" fontId="0" fillId="0" borderId="0" xfId="0" applyNumberFormat="1" applyFill="1" applyBorder="1"/>
    <xf numFmtId="0" fontId="3" fillId="0" borderId="0" xfId="0" applyFont="1" applyAlignment="1">
      <alignment wrapText="1"/>
    </xf>
    <xf numFmtId="165" fontId="0" fillId="0" borderId="0" xfId="0" applyNumberFormat="1"/>
    <xf numFmtId="1" fontId="5" fillId="0" borderId="0" xfId="0" applyNumberFormat="1" applyFont="1"/>
    <xf numFmtId="0" fontId="0" fillId="0" borderId="2" xfId="0" applyBorder="1" applyAlignment="1">
      <alignment vertical="top" wrapText="1"/>
    </xf>
    <xf numFmtId="0" fontId="1" fillId="0" borderId="4" xfId="0" applyFont="1" applyBorder="1"/>
    <xf numFmtId="1" fontId="0" fillId="0" borderId="0" xfId="0" applyNumberFormat="1" applyBorder="1"/>
    <xf numFmtId="1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1" fontId="1" fillId="0" borderId="4" xfId="0" applyNumberFormat="1" applyFont="1" applyBorder="1"/>
    <xf numFmtId="0" fontId="1" fillId="0" borderId="6" xfId="0" applyFont="1" applyBorder="1"/>
    <xf numFmtId="1" fontId="0" fillId="0" borderId="7" xfId="0" applyNumberFormat="1" applyBorder="1"/>
    <xf numFmtId="1" fontId="6" fillId="0" borderId="0" xfId="0" applyNumberFormat="1" applyFont="1" applyBorder="1"/>
    <xf numFmtId="0" fontId="4" fillId="9" borderId="1" xfId="0" applyFont="1" applyFill="1" applyBorder="1" applyAlignment="1">
      <alignment vertical="top" wrapText="1"/>
    </xf>
    <xf numFmtId="0" fontId="4" fillId="9" borderId="4" xfId="0" applyFont="1" applyFill="1" applyBorder="1" applyAlignment="1">
      <alignment horizontal="left" vertical="top" wrapText="1"/>
    </xf>
    <xf numFmtId="0" fontId="7" fillId="0" borderId="0" xfId="0" applyFont="1" applyFill="1"/>
    <xf numFmtId="0" fontId="7" fillId="0" borderId="0" xfId="0" applyFont="1"/>
    <xf numFmtId="0" fontId="7" fillId="0" borderId="0" xfId="0" applyFont="1" applyBorder="1"/>
    <xf numFmtId="0" fontId="7" fillId="0" borderId="0" xfId="0" applyFont="1" applyFill="1" applyBorder="1"/>
    <xf numFmtId="1" fontId="7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4"/>
  <sheetViews>
    <sheetView zoomScale="81" zoomScaleNormal="81" workbookViewId="0">
      <selection activeCell="G6" sqref="G6"/>
    </sheetView>
  </sheetViews>
  <sheetFormatPr defaultRowHeight="15"/>
  <cols>
    <col min="1" max="1" width="13" customWidth="1"/>
    <col min="2" max="3" width="11.5703125" customWidth="1"/>
    <col min="4" max="4" width="12.140625" customWidth="1"/>
    <col min="5" max="5" width="11.28515625" customWidth="1"/>
    <col min="6" max="6" width="12.140625" customWidth="1"/>
    <col min="7" max="7" width="12.42578125" customWidth="1"/>
    <col min="8" max="8" width="13.140625" customWidth="1"/>
    <col min="9" max="9" width="12.42578125" customWidth="1"/>
    <col min="10" max="10" width="13.7109375" customWidth="1"/>
    <col min="11" max="11" width="10.28515625" customWidth="1"/>
    <col min="12" max="12" width="10.42578125" customWidth="1"/>
    <col min="13" max="13" width="11.5703125" bestFit="1" customWidth="1"/>
    <col min="15" max="15" width="10.140625" customWidth="1"/>
    <col min="16" max="16" width="10.5703125" customWidth="1"/>
    <col min="17" max="17" width="10.85546875" customWidth="1"/>
  </cols>
  <sheetData>
    <row r="1" spans="1:31" ht="61.5">
      <c r="A1" s="4" t="s">
        <v>34</v>
      </c>
      <c r="B1" s="4"/>
      <c r="C1" s="4"/>
      <c r="D1" s="4">
        <v>260</v>
      </c>
      <c r="E1" s="4" t="s">
        <v>0</v>
      </c>
      <c r="G1" s="63" t="s">
        <v>124</v>
      </c>
      <c r="Q1" s="9" t="s">
        <v>27</v>
      </c>
      <c r="R1" s="9"/>
    </row>
    <row r="2" spans="1:31">
      <c r="A2" s="25">
        <v>3000</v>
      </c>
      <c r="B2" s="4" t="s">
        <v>12</v>
      </c>
      <c r="C2" s="4"/>
      <c r="D2" s="4">
        <v>50</v>
      </c>
      <c r="E2" s="4" t="s">
        <v>13</v>
      </c>
      <c r="P2" s="4"/>
      <c r="Q2" s="20" t="s">
        <v>26</v>
      </c>
      <c r="R2" s="24"/>
      <c r="S2" s="4"/>
      <c r="T2" s="4"/>
      <c r="U2" s="20" t="s">
        <v>29</v>
      </c>
      <c r="V2" s="22"/>
      <c r="X2" s="8" t="s">
        <v>69</v>
      </c>
      <c r="Y2" s="8"/>
    </row>
    <row r="3" spans="1:31">
      <c r="A3" s="10" t="s">
        <v>1</v>
      </c>
      <c r="B3" s="26"/>
      <c r="C3" s="26"/>
      <c r="D3" s="26" t="s">
        <v>6</v>
      </c>
      <c r="E3" s="19"/>
      <c r="P3" s="4" t="s">
        <v>30</v>
      </c>
      <c r="Q3" s="12" t="s">
        <v>28</v>
      </c>
      <c r="R3" s="16" t="s">
        <v>25</v>
      </c>
      <c r="S3" s="4"/>
      <c r="T3" s="4" t="s">
        <v>31</v>
      </c>
      <c r="U3" s="12" t="s">
        <v>28</v>
      </c>
      <c r="V3" s="23" t="s">
        <v>25</v>
      </c>
      <c r="Y3" s="12" t="s">
        <v>28</v>
      </c>
      <c r="Z3" s="16" t="s">
        <v>25</v>
      </c>
    </row>
    <row r="4" spans="1:31">
      <c r="A4" s="11" t="s">
        <v>0</v>
      </c>
      <c r="B4" s="4">
        <v>12.010999999999999</v>
      </c>
      <c r="C4" s="4"/>
      <c r="D4" s="4" t="s">
        <v>7</v>
      </c>
      <c r="E4" s="13">
        <f>B4+B6</f>
        <v>28.009999999999998</v>
      </c>
      <c r="I4">
        <v>87106435.685984805</v>
      </c>
      <c r="P4" s="16" t="s">
        <v>7</v>
      </c>
      <c r="Q4" s="35">
        <v>0.27860000000000001</v>
      </c>
      <c r="R4" s="35">
        <v>0.71725499868696041</v>
      </c>
      <c r="S4" s="4"/>
      <c r="T4" s="16" t="s">
        <v>7</v>
      </c>
      <c r="U4" s="37">
        <v>0.62630000000000008</v>
      </c>
      <c r="V4" s="37">
        <v>0.82400713647572066</v>
      </c>
      <c r="X4" t="s">
        <v>61</v>
      </c>
      <c r="Y4">
        <f>B50/B51</f>
        <v>0.94329250138233178</v>
      </c>
      <c r="Z4">
        <f>D50/D51</f>
        <v>0.95</v>
      </c>
    </row>
    <row r="5" spans="1:31">
      <c r="A5" s="11" t="s">
        <v>2</v>
      </c>
      <c r="B5" s="4">
        <v>1.0079</v>
      </c>
      <c r="C5" s="4"/>
      <c r="D5" s="4" t="s">
        <v>8</v>
      </c>
      <c r="E5" s="13">
        <f>B4+(2*B6)</f>
        <v>44.009</v>
      </c>
      <c r="I5">
        <v>377157906.71506804</v>
      </c>
      <c r="P5" s="16" t="s">
        <v>8</v>
      </c>
      <c r="Q5" s="35">
        <v>3.5200000000000002E-2</v>
      </c>
      <c r="R5" s="35">
        <v>0.14238476622798141</v>
      </c>
      <c r="S5" s="4"/>
      <c r="T5" s="16" t="s">
        <v>8</v>
      </c>
      <c r="U5" s="37">
        <v>2.1700000000000001E-2</v>
      </c>
      <c r="V5" s="37">
        <v>4.4857667419180985E-2</v>
      </c>
      <c r="X5" t="s">
        <v>11</v>
      </c>
      <c r="Y5">
        <f>B52/B51</f>
        <v>5.6707498617668273E-2</v>
      </c>
      <c r="Z5">
        <f>D52/D51</f>
        <v>4.9999999999999996E-2</v>
      </c>
    </row>
    <row r="6" spans="1:31">
      <c r="A6" s="11" t="s">
        <v>3</v>
      </c>
      <c r="B6" s="4">
        <v>15.999000000000001</v>
      </c>
      <c r="C6" s="4"/>
      <c r="D6" s="4" t="s">
        <v>9</v>
      </c>
      <c r="E6" s="13">
        <f>B4+(4*B5)</f>
        <v>16.0426</v>
      </c>
      <c r="I6">
        <v>96233447.46568121</v>
      </c>
      <c r="P6" s="16" t="s">
        <v>9</v>
      </c>
      <c r="Q6" s="35">
        <v>2.0999999999999999E-3</v>
      </c>
      <c r="R6" s="35">
        <v>3.0965165999406433E-3</v>
      </c>
      <c r="S6" s="4"/>
      <c r="T6" s="16" t="s">
        <v>9</v>
      </c>
      <c r="U6" s="37">
        <v>8.9999999999999998E-4</v>
      </c>
      <c r="V6" s="37">
        <v>6.7819208513911797E-4</v>
      </c>
    </row>
    <row r="7" spans="1:31">
      <c r="A7" s="11" t="s">
        <v>4</v>
      </c>
      <c r="B7" s="4">
        <v>14.007</v>
      </c>
      <c r="C7" s="4"/>
      <c r="D7" s="4" t="s">
        <v>10</v>
      </c>
      <c r="E7" s="13">
        <f>2*B5</f>
        <v>2.0158</v>
      </c>
      <c r="I7">
        <v>2426516.7269283514</v>
      </c>
      <c r="P7" s="16" t="s">
        <v>10</v>
      </c>
      <c r="Q7" s="35">
        <v>0.67969999999999997</v>
      </c>
      <c r="R7" s="35">
        <v>0.12593431188331272</v>
      </c>
      <c r="S7" s="4"/>
      <c r="T7" s="16" t="s">
        <v>10</v>
      </c>
      <c r="U7" s="37">
        <v>0.26140000000000002</v>
      </c>
      <c r="V7" s="37">
        <v>2.4750756444674782E-2</v>
      </c>
    </row>
    <row r="8" spans="1:31">
      <c r="A8" s="11" t="s">
        <v>5</v>
      </c>
      <c r="B8" s="4">
        <v>32.066000000000003</v>
      </c>
      <c r="C8" s="4"/>
      <c r="D8" s="4" t="s">
        <v>11</v>
      </c>
      <c r="E8" s="13">
        <f>2*B7</f>
        <v>28.013999999999999</v>
      </c>
      <c r="I8">
        <v>0</v>
      </c>
      <c r="P8" s="16" t="s">
        <v>11</v>
      </c>
      <c r="Q8" s="35">
        <v>4.4000000000000003E-3</v>
      </c>
      <c r="R8" s="35">
        <v>1.1329406601804945E-2</v>
      </c>
      <c r="S8" s="4"/>
      <c r="T8" s="16" t="s">
        <v>11</v>
      </c>
      <c r="U8" s="37">
        <v>4.9400000000000006E-2</v>
      </c>
      <c r="V8" s="37">
        <v>6.5003617438743666E-2</v>
      </c>
    </row>
    <row r="9" spans="1:31">
      <c r="A9" s="11"/>
      <c r="B9" s="4"/>
      <c r="C9" s="4"/>
      <c r="D9" s="18" t="s">
        <v>22</v>
      </c>
      <c r="E9" s="13">
        <f>(2*B5)+B6</f>
        <v>18.014800000000001</v>
      </c>
      <c r="I9">
        <v>562924306.59366238</v>
      </c>
      <c r="P9" s="16" t="s">
        <v>22</v>
      </c>
      <c r="Q9" s="36">
        <v>0</v>
      </c>
      <c r="R9" s="35">
        <v>0</v>
      </c>
      <c r="S9" s="4"/>
      <c r="T9" s="16" t="s">
        <v>22</v>
      </c>
      <c r="U9" s="37">
        <v>3.2199999999999999E-2</v>
      </c>
      <c r="V9" s="37">
        <v>2.7247130332623194E-2</v>
      </c>
    </row>
    <row r="10" spans="1:31">
      <c r="A10" s="11"/>
      <c r="B10" s="4"/>
      <c r="C10" s="4"/>
      <c r="D10" s="18" t="s">
        <v>23</v>
      </c>
      <c r="E10" s="13">
        <f>(2*B5)+B8</f>
        <v>34.081800000000001</v>
      </c>
      <c r="P10" s="16" t="s">
        <v>23</v>
      </c>
      <c r="Q10" s="36">
        <v>0</v>
      </c>
      <c r="R10" s="35">
        <v>0</v>
      </c>
      <c r="S10" s="4"/>
      <c r="T10" s="16" t="s">
        <v>23</v>
      </c>
      <c r="U10" s="37">
        <v>7.7000000000000002E-3</v>
      </c>
      <c r="V10" s="37">
        <v>1.232675321097625E-2</v>
      </c>
    </row>
    <row r="11" spans="1:31">
      <c r="A11" s="27"/>
      <c r="B11" s="15"/>
      <c r="C11" s="15"/>
      <c r="D11" s="28" t="s">
        <v>24</v>
      </c>
      <c r="E11" s="14">
        <f>B4+B6+B8</f>
        <v>60.076000000000001</v>
      </c>
      <c r="P11" s="16" t="s">
        <v>24</v>
      </c>
      <c r="Q11" s="36">
        <v>0</v>
      </c>
      <c r="R11" s="35">
        <v>0</v>
      </c>
      <c r="S11" s="4"/>
      <c r="T11" s="16" t="s">
        <v>24</v>
      </c>
      <c r="U11" s="37">
        <v>4.0000000000000002E-4</v>
      </c>
      <c r="V11" s="37">
        <v>1.1287465929412288E-3</v>
      </c>
    </row>
    <row r="12" spans="1:31">
      <c r="A12" s="7" t="s">
        <v>35</v>
      </c>
      <c r="B12" s="6">
        <v>275740537.150949</v>
      </c>
      <c r="C12" s="29" t="s">
        <v>47</v>
      </c>
      <c r="D12" s="29"/>
      <c r="E12" s="29"/>
      <c r="F12" s="29"/>
      <c r="G12" s="29"/>
      <c r="H12" s="29"/>
      <c r="P12" s="17" t="s">
        <v>14</v>
      </c>
      <c r="Q12" s="37">
        <v>1</v>
      </c>
      <c r="R12" s="36">
        <v>1.0000000000000002</v>
      </c>
      <c r="S12" s="4"/>
      <c r="T12" s="17" t="s">
        <v>14</v>
      </c>
      <c r="U12" s="37">
        <v>1.0000000000000002</v>
      </c>
      <c r="V12" s="37">
        <v>0.99999999999999967</v>
      </c>
      <c r="W12" s="37"/>
      <c r="X12" s="37"/>
      <c r="Y12" s="37"/>
    </row>
    <row r="13" spans="1:31" ht="47.25">
      <c r="A13" s="55" t="s">
        <v>66</v>
      </c>
      <c r="B13" s="3" t="s">
        <v>15</v>
      </c>
      <c r="C13" s="3" t="s">
        <v>20</v>
      </c>
      <c r="D13" s="3" t="s">
        <v>18</v>
      </c>
      <c r="E13" s="5" t="s">
        <v>19</v>
      </c>
      <c r="F13" s="5" t="s">
        <v>21</v>
      </c>
      <c r="G13" s="5"/>
      <c r="H13" s="55" t="s">
        <v>67</v>
      </c>
      <c r="I13" s="3" t="s">
        <v>16</v>
      </c>
      <c r="J13" s="3" t="s">
        <v>17</v>
      </c>
      <c r="K13" s="3" t="s">
        <v>18</v>
      </c>
      <c r="L13" s="3" t="s">
        <v>19</v>
      </c>
      <c r="M13" s="3" t="s">
        <v>21</v>
      </c>
      <c r="Q13" s="21" t="s">
        <v>33</v>
      </c>
      <c r="R13" s="9"/>
    </row>
    <row r="14" spans="1:31">
      <c r="A14" s="1" t="s">
        <v>7</v>
      </c>
      <c r="B14" s="30">
        <f>$B$12*Q4</f>
        <v>76821313.650254399</v>
      </c>
      <c r="C14" s="30">
        <f>(Q4*$B$12)*E4</f>
        <v>2151764995.3436255</v>
      </c>
      <c r="D14" s="30">
        <f>C14/1000000</f>
        <v>2151.7649953436257</v>
      </c>
      <c r="E14" s="30">
        <f>D14*1.10231131</f>
        <v>2371.914890829376</v>
      </c>
      <c r="F14" s="30">
        <f t="shared" ref="F14:F19" si="0">D14*2204.62262</f>
        <v>4743829.7816587519</v>
      </c>
      <c r="G14" s="30"/>
      <c r="H14" s="1" t="s">
        <v>0</v>
      </c>
      <c r="I14" s="30">
        <f>J14/B4</f>
        <v>87106435.685984775</v>
      </c>
      <c r="J14" s="30">
        <f>R16*$C$19</f>
        <v>1046235399.024363</v>
      </c>
      <c r="K14" s="30">
        <f>J14/1000000</f>
        <v>1046.235399024363</v>
      </c>
      <c r="L14" s="30">
        <f>K14*1.10231131</f>
        <v>1153.2771132669181</v>
      </c>
      <c r="M14" s="30">
        <f>K14*2204.62262</f>
        <v>2306554.2265338367</v>
      </c>
      <c r="Q14" s="20" t="s">
        <v>26</v>
      </c>
      <c r="U14" s="20" t="s">
        <v>29</v>
      </c>
      <c r="X14" s="8" t="s">
        <v>32</v>
      </c>
      <c r="Y14" t="s">
        <v>38</v>
      </c>
      <c r="AA14" s="8" t="s">
        <v>69</v>
      </c>
      <c r="AB14" s="8"/>
      <c r="AD14" s="8" t="s">
        <v>52</v>
      </c>
    </row>
    <row r="15" spans="1:31">
      <c r="A15" s="1" t="s">
        <v>8</v>
      </c>
      <c r="B15" s="30">
        <f>$B$12*Q5</f>
        <v>9706066.9077134058</v>
      </c>
      <c r="C15" s="30">
        <f>(Q5*$B$12)*E5</f>
        <v>427154298.54155928</v>
      </c>
      <c r="D15" s="30">
        <f t="shared" ref="D15:D18" si="1">C15/1000000</f>
        <v>427.15429854155929</v>
      </c>
      <c r="E15" s="30">
        <f t="shared" ref="E15:E19" si="2">D15*1.10231131</f>
        <v>470.85701439747726</v>
      </c>
      <c r="F15" s="30">
        <f t="shared" si="0"/>
        <v>941714.02879495465</v>
      </c>
      <c r="G15" s="30"/>
      <c r="H15" s="1" t="s">
        <v>2</v>
      </c>
      <c r="I15" s="30">
        <f>J15/B5</f>
        <v>377157906.71506792</v>
      </c>
      <c r="J15" s="30">
        <f t="shared" ref="J15:J17" si="3">R17*$C$19</f>
        <v>380137454.17811698</v>
      </c>
      <c r="K15" s="30">
        <f t="shared" ref="K15:K17" si="4">J15/1000000</f>
        <v>380.13745417811697</v>
      </c>
      <c r="L15" s="30">
        <f t="shared" ref="L15:L17" si="5">K15*1.10231131</f>
        <v>419.02981509514507</v>
      </c>
      <c r="M15" s="30">
        <f t="shared" ref="M15:M17" si="6">K15*2204.62262</f>
        <v>838059.63019029016</v>
      </c>
      <c r="Q15" s="12" t="s">
        <v>28</v>
      </c>
      <c r="R15" s="16" t="s">
        <v>25</v>
      </c>
      <c r="U15" s="12" t="s">
        <v>28</v>
      </c>
      <c r="V15" s="16" t="s">
        <v>25</v>
      </c>
      <c r="X15" s="12" t="s">
        <v>28</v>
      </c>
      <c r="Y15" s="1" t="s">
        <v>25</v>
      </c>
      <c r="AA15" s="12" t="s">
        <v>28</v>
      </c>
      <c r="AB15" s="16" t="s">
        <v>25</v>
      </c>
      <c r="AD15" s="12" t="s">
        <v>28</v>
      </c>
      <c r="AE15" s="1" t="s">
        <v>25</v>
      </c>
    </row>
    <row r="16" spans="1:31">
      <c r="A16" s="1" t="s">
        <v>9</v>
      </c>
      <c r="B16" s="30">
        <f>$B$12*Q6</f>
        <v>579055.12801699282</v>
      </c>
      <c r="C16" s="30">
        <f>(Q6*$B$12)*E6</f>
        <v>9289549.7967254091</v>
      </c>
      <c r="D16" s="30">
        <f>C16/1000000</f>
        <v>9.2895497967254084</v>
      </c>
      <c r="E16" s="30">
        <f t="shared" si="2"/>
        <v>10.239975805738618</v>
      </c>
      <c r="F16" s="30">
        <f t="shared" si="0"/>
        <v>20479.951611477238</v>
      </c>
      <c r="G16" s="30"/>
      <c r="H16" s="1" t="s">
        <v>3</v>
      </c>
      <c r="I16" s="30">
        <f t="shared" ref="I16:I18" si="7">J16/B6</f>
        <v>96233447.465681195</v>
      </c>
      <c r="J16" s="30">
        <f t="shared" si="3"/>
        <v>1539638926.0034335</v>
      </c>
      <c r="K16" s="30">
        <f t="shared" si="4"/>
        <v>1539.6389260034334</v>
      </c>
      <c r="L16" s="30">
        <f t="shared" si="5"/>
        <v>1697.1614014498377</v>
      </c>
      <c r="M16" s="30">
        <f>K16*2204.62262</f>
        <v>3394322.8028996759</v>
      </c>
      <c r="P16" s="16" t="s">
        <v>0</v>
      </c>
      <c r="Q16" s="31">
        <v>0.15473916238060251</v>
      </c>
      <c r="R16" s="31">
        <v>0.34874513312436944</v>
      </c>
      <c r="T16" s="16" t="s">
        <v>0</v>
      </c>
      <c r="U16" s="31">
        <v>0.31447667942073915</v>
      </c>
      <c r="V16" s="31">
        <v>0.36631948699778794</v>
      </c>
      <c r="X16" s="31">
        <v>0.60179836601989978</v>
      </c>
      <c r="Y16" s="31">
        <v>0.83299999999999996</v>
      </c>
      <c r="AA16" s="31">
        <v>0</v>
      </c>
      <c r="AB16" s="31">
        <v>0</v>
      </c>
      <c r="AD16" s="31">
        <v>0</v>
      </c>
      <c r="AE16" s="31">
        <v>0</v>
      </c>
    </row>
    <row r="17" spans="1:31">
      <c r="A17" s="1" t="s">
        <v>10</v>
      </c>
      <c r="B17" s="30">
        <f>$B$12*Q7</f>
        <v>187420843.10150003</v>
      </c>
      <c r="C17" s="30">
        <f>(Q7*$B$12)*E7</f>
        <v>377802935.5240038</v>
      </c>
      <c r="D17" s="30">
        <f t="shared" si="1"/>
        <v>377.80293552400383</v>
      </c>
      <c r="E17" s="30">
        <f t="shared" si="2"/>
        <v>416.45644877931016</v>
      </c>
      <c r="F17" s="30">
        <f t="shared" si="0"/>
        <v>832912.89755862043</v>
      </c>
      <c r="G17" s="30"/>
      <c r="H17" s="1" t="s">
        <v>4</v>
      </c>
      <c r="I17" s="47">
        <f t="shared" si="7"/>
        <v>2426516.7269283505</v>
      </c>
      <c r="J17" s="30">
        <f t="shared" si="3"/>
        <v>33988219.794085406</v>
      </c>
      <c r="K17" s="30">
        <f t="shared" si="4"/>
        <v>33.988219794085403</v>
      </c>
      <c r="L17" s="30">
        <f t="shared" si="5"/>
        <v>37.465599085786209</v>
      </c>
      <c r="M17" s="30">
        <f t="shared" si="6"/>
        <v>74931.198171572425</v>
      </c>
      <c r="P17" s="16" t="s">
        <v>2</v>
      </c>
      <c r="Q17" s="31">
        <v>0.66999755082047507</v>
      </c>
      <c r="R17" s="31">
        <v>0.12671248476827651</v>
      </c>
      <c r="T17" s="16" t="s">
        <v>2</v>
      </c>
      <c r="U17" s="31">
        <v>0.29360197607400584</v>
      </c>
      <c r="V17" s="31">
        <v>2.8699136489598025E-2</v>
      </c>
      <c r="X17" s="31">
        <v>0.34437190727538242</v>
      </c>
      <c r="Y17" s="31">
        <v>0.04</v>
      </c>
      <c r="AA17" s="31">
        <v>0</v>
      </c>
      <c r="AB17" s="31">
        <v>0</v>
      </c>
      <c r="AD17" s="31">
        <f>I44/I46</f>
        <v>0.66666666666666663</v>
      </c>
      <c r="AE17" s="31">
        <f>K44/K46</f>
        <v>0.11189688478362234</v>
      </c>
    </row>
    <row r="18" spans="1:31">
      <c r="A18" s="1" t="s">
        <v>11</v>
      </c>
      <c r="B18" s="30">
        <f>$B$12*Q8</f>
        <v>1213258.3634641757</v>
      </c>
      <c r="C18" s="30">
        <f>(Q8*$B$12)*E8</f>
        <v>33988219.794085421</v>
      </c>
      <c r="D18" s="30">
        <f t="shared" si="1"/>
        <v>33.988219794085424</v>
      </c>
      <c r="E18" s="30">
        <f t="shared" si="2"/>
        <v>37.465599085786231</v>
      </c>
      <c r="F18" s="30">
        <f t="shared" si="0"/>
        <v>74931.198171572469</v>
      </c>
      <c r="G18" s="30"/>
      <c r="H18" s="1" t="s">
        <v>5</v>
      </c>
      <c r="I18" s="30">
        <f t="shared" si="7"/>
        <v>0</v>
      </c>
      <c r="J18" s="30">
        <f>R20*$C$19</f>
        <v>0</v>
      </c>
      <c r="K18">
        <v>0</v>
      </c>
      <c r="L18">
        <v>0</v>
      </c>
      <c r="M18">
        <v>0</v>
      </c>
      <c r="P18" s="16" t="s">
        <v>3</v>
      </c>
      <c r="Q18" s="31">
        <v>0.17095273083517024</v>
      </c>
      <c r="R18" s="31">
        <v>0.5132129755055489</v>
      </c>
      <c r="T18" s="16" t="s">
        <v>3</v>
      </c>
      <c r="U18" s="31">
        <v>0.34014626822298644</v>
      </c>
      <c r="V18" s="31">
        <v>0.52777760656625683</v>
      </c>
      <c r="X18" s="31">
        <v>2.4081043460877073E-2</v>
      </c>
      <c r="Y18" s="31">
        <v>4.4400000000000002E-2</v>
      </c>
      <c r="AA18" s="31">
        <f>I50/I52</f>
        <v>0.94329250138233178</v>
      </c>
      <c r="AB18" s="31">
        <f>K50/K52</f>
        <v>0.95</v>
      </c>
      <c r="AD18" s="31">
        <f>I45/I46</f>
        <v>0.33333333333333331</v>
      </c>
      <c r="AE18" s="31">
        <f>K45/K46</f>
        <v>0.88810311521637764</v>
      </c>
    </row>
    <row r="19" spans="1:31">
      <c r="A19" s="1" t="s">
        <v>14</v>
      </c>
      <c r="B19" s="30">
        <f>SUM(B14:B18)</f>
        <v>275740537.150949</v>
      </c>
      <c r="C19" s="30">
        <f>SUM(C14:C18)</f>
        <v>2999999998.9999995</v>
      </c>
      <c r="D19" s="33">
        <f>C19/1000000</f>
        <v>2999.9999989999997</v>
      </c>
      <c r="E19" s="30">
        <f t="shared" si="2"/>
        <v>3306.933928897688</v>
      </c>
      <c r="F19" s="30">
        <f t="shared" si="0"/>
        <v>6613867.8577953773</v>
      </c>
      <c r="G19" s="30"/>
      <c r="H19" s="32" t="s">
        <v>14</v>
      </c>
      <c r="I19" s="30">
        <f t="shared" ref="I19:M19" si="8">SUM(I14:I18)</f>
        <v>562924306.59366226</v>
      </c>
      <c r="J19" s="30">
        <f>SUM(J14:J18)</f>
        <v>2999999998.999999</v>
      </c>
      <c r="K19" s="30">
        <f t="shared" si="8"/>
        <v>2999.9999989999992</v>
      </c>
      <c r="L19" s="30">
        <f t="shared" si="8"/>
        <v>3306.9339288976871</v>
      </c>
      <c r="M19" s="30">
        <f t="shared" si="8"/>
        <v>6613867.8577953754</v>
      </c>
      <c r="P19" s="16" t="s">
        <v>4</v>
      </c>
      <c r="Q19" s="31">
        <v>4.310555963752143E-3</v>
      </c>
      <c r="R19" s="31">
        <v>1.1329406601804939E-2</v>
      </c>
      <c r="T19" s="16" t="s">
        <v>4</v>
      </c>
      <c r="U19" s="31">
        <v>4.7851988182302511E-2</v>
      </c>
      <c r="V19" s="31">
        <v>6.5003617438743652E-2</v>
      </c>
      <c r="X19" s="31">
        <v>1.3133361607176033E-2</v>
      </c>
      <c r="Y19" s="31">
        <v>2.12E-2</v>
      </c>
      <c r="AA19" s="31">
        <f>I51/I52</f>
        <v>5.6707498617668273E-2</v>
      </c>
      <c r="AB19" s="31">
        <f>K51/K52</f>
        <v>4.999999999999994E-2</v>
      </c>
      <c r="AD19" s="31">
        <v>0</v>
      </c>
      <c r="AE19" s="31">
        <v>0</v>
      </c>
    </row>
    <row r="20" spans="1:31">
      <c r="A20" s="1"/>
      <c r="F20" s="2"/>
      <c r="P20" s="16" t="s">
        <v>5</v>
      </c>
      <c r="Q20" s="31">
        <v>0</v>
      </c>
      <c r="R20" s="31">
        <v>0</v>
      </c>
      <c r="T20" s="16" t="s">
        <v>5</v>
      </c>
      <c r="U20" s="31">
        <v>3.9230880999660961E-3</v>
      </c>
      <c r="V20" s="31">
        <v>1.2200152507613393E-2</v>
      </c>
      <c r="X20" s="31">
        <v>1.6615321636664591E-2</v>
      </c>
      <c r="Y20" s="31">
        <v>6.1399999999999996E-2</v>
      </c>
      <c r="AA20" s="31">
        <v>0</v>
      </c>
      <c r="AB20" s="31">
        <v>0</v>
      </c>
      <c r="AD20" s="31">
        <v>0</v>
      </c>
      <c r="AE20" s="31">
        <v>0</v>
      </c>
    </row>
    <row r="21" spans="1:31">
      <c r="A21" s="1"/>
      <c r="P21" s="17" t="s">
        <v>14</v>
      </c>
      <c r="Q21" s="31">
        <v>1</v>
      </c>
      <c r="R21" s="31">
        <v>1</v>
      </c>
      <c r="T21" s="17" t="s">
        <v>14</v>
      </c>
      <c r="U21" s="31">
        <v>1</v>
      </c>
      <c r="V21" s="31">
        <v>1.0000000000000002</v>
      </c>
      <c r="X21" s="31">
        <v>0.99999999999999978</v>
      </c>
      <c r="Y21" s="31">
        <v>1</v>
      </c>
      <c r="Z21" s="31"/>
      <c r="AA21" s="31">
        <f t="shared" ref="AA21:AB21" si="9">SUM(AA16:AA20)</f>
        <v>1</v>
      </c>
      <c r="AB21" s="31">
        <f t="shared" si="9"/>
        <v>0.99999999999999989</v>
      </c>
      <c r="AD21" s="31"/>
      <c r="AE21" s="31"/>
    </row>
    <row r="22" spans="1:31" ht="47.25">
      <c r="A22" s="42" t="s">
        <v>68</v>
      </c>
      <c r="H22" s="34" t="s">
        <v>37</v>
      </c>
      <c r="I22" s="3" t="s">
        <v>15</v>
      </c>
      <c r="J22" s="3" t="s">
        <v>20</v>
      </c>
      <c r="K22" s="3" t="s">
        <v>12</v>
      </c>
      <c r="L22" s="3" t="s">
        <v>19</v>
      </c>
      <c r="M22" s="3" t="s">
        <v>21</v>
      </c>
    </row>
    <row r="23" spans="1:31">
      <c r="H23" s="16" t="s">
        <v>0</v>
      </c>
      <c r="I23" s="47">
        <f>I32</f>
        <v>695498918.46771049</v>
      </c>
      <c r="J23" s="30">
        <f>I23*B4</f>
        <v>8353637509.7156706</v>
      </c>
      <c r="K23" s="30">
        <f>J23/1000000</f>
        <v>8353.6375097156706</v>
      </c>
      <c r="L23" s="30">
        <f>K23*1.10231131</f>
        <v>9208.3091065998178</v>
      </c>
      <c r="M23" s="30">
        <f>K23*2204.62262</f>
        <v>18416618.213199638</v>
      </c>
      <c r="N23" s="3"/>
      <c r="O23" s="3"/>
      <c r="X23" s="43">
        <v>0.76834918907344008</v>
      </c>
      <c r="Y23" s="43">
        <v>0.83299999999999996</v>
      </c>
    </row>
    <row r="24" spans="1:31">
      <c r="B24" s="1" t="s">
        <v>7</v>
      </c>
      <c r="C24">
        <f>B14/$B$19</f>
        <v>0.27860000000000001</v>
      </c>
      <c r="E24" t="s">
        <v>104</v>
      </c>
      <c r="F24">
        <f>B14/B17</f>
        <v>0.40988671472708554</v>
      </c>
      <c r="H24" s="16" t="s">
        <v>2</v>
      </c>
      <c r="I24" s="30">
        <f>$I$23*(X17/$X$16)</f>
        <v>397990926.17139345</v>
      </c>
      <c r="J24" s="30">
        <f>I24*B5</f>
        <v>401135054.4881475</v>
      </c>
      <c r="K24" s="30">
        <f t="shared" ref="K24:K27" si="10">J24/1000000</f>
        <v>401.13505448814749</v>
      </c>
      <c r="L24" s="30">
        <f t="shared" ref="L24:L27" si="11">K24*1.10231131</f>
        <v>442.17570739975122</v>
      </c>
      <c r="M24" s="30">
        <f t="shared" ref="M24:M27" si="12">K24*2204.62262</f>
        <v>884351.41479950247</v>
      </c>
      <c r="P24" t="s">
        <v>30</v>
      </c>
      <c r="Q24" t="s">
        <v>42</v>
      </c>
      <c r="R24" s="16"/>
      <c r="X24" s="43">
        <v>3.0960780855529106E-3</v>
      </c>
      <c r="Y24" s="43">
        <v>0.04</v>
      </c>
    </row>
    <row r="25" spans="1:31">
      <c r="B25" s="1" t="s">
        <v>8</v>
      </c>
      <c r="C25">
        <f t="shared" ref="C25:C28" si="13">B15/$B$19</f>
        <v>3.5200000000000002E-2</v>
      </c>
      <c r="H25" s="16" t="s">
        <v>3</v>
      </c>
      <c r="I25" s="30">
        <f>$I$23*(X18/$X$16)</f>
        <v>27830483.810353376</v>
      </c>
      <c r="J25" s="30">
        <f>I25*B6</f>
        <v>445259910.48184365</v>
      </c>
      <c r="K25" s="30">
        <f t="shared" si="10"/>
        <v>445.25991048184363</v>
      </c>
      <c r="L25" s="30">
        <f t="shared" si="11"/>
        <v>490.81503521372377</v>
      </c>
      <c r="M25" s="30">
        <f t="shared" si="12"/>
        <v>981630.07042744767</v>
      </c>
      <c r="N25" s="4"/>
      <c r="O25" s="4"/>
      <c r="P25" t="s">
        <v>31</v>
      </c>
      <c r="Q25" s="4" t="s">
        <v>43</v>
      </c>
      <c r="R25" s="4"/>
      <c r="S25" s="4"/>
      <c r="X25" s="43">
        <v>5.4551949749721926E-2</v>
      </c>
      <c r="Y25" s="43">
        <v>4.4400000000000002E-2</v>
      </c>
    </row>
    <row r="26" spans="1:31">
      <c r="B26" s="1" t="s">
        <v>9</v>
      </c>
      <c r="C26">
        <f t="shared" si="13"/>
        <v>2.0999999999999999E-3</v>
      </c>
      <c r="E26" t="s">
        <v>105</v>
      </c>
      <c r="F26">
        <f>(B14+B15+B16)/(2*B17+4*B16)</f>
        <v>0.23095481795584155</v>
      </c>
      <c r="H26" s="16" t="s">
        <v>4</v>
      </c>
      <c r="I26" s="30">
        <f t="shared" ref="I26:I27" si="14">$I$23*(X19/$X$16)</f>
        <v>15178237.943793686</v>
      </c>
      <c r="J26" s="30">
        <f>I26*B7</f>
        <v>212601578.87871817</v>
      </c>
      <c r="K26" s="30">
        <f t="shared" si="10"/>
        <v>212.60157887871816</v>
      </c>
      <c r="L26" s="30">
        <f t="shared" si="11"/>
        <v>234.35312492186813</v>
      </c>
      <c r="M26" s="30">
        <f t="shared" si="12"/>
        <v>468706.2498437363</v>
      </c>
      <c r="N26" s="4"/>
      <c r="O26" s="4"/>
      <c r="P26" t="s">
        <v>38</v>
      </c>
      <c r="Q26" s="4" t="s">
        <v>44</v>
      </c>
      <c r="R26" s="4"/>
      <c r="S26" s="4"/>
      <c r="X26" s="43">
        <v>2.2804232408473058E-2</v>
      </c>
      <c r="Y26" s="43">
        <v>2.12E-2</v>
      </c>
    </row>
    <row r="27" spans="1:31">
      <c r="B27" s="1" t="s">
        <v>10</v>
      </c>
      <c r="C27">
        <f t="shared" si="13"/>
        <v>0.67969999999999997</v>
      </c>
      <c r="H27" s="16" t="s">
        <v>5</v>
      </c>
      <c r="I27" s="30">
        <f t="shared" si="14"/>
        <v>19202342.313955784</v>
      </c>
      <c r="J27" s="30">
        <f>I27*B8</f>
        <v>615742308.63930619</v>
      </c>
      <c r="K27" s="30">
        <f t="shared" si="10"/>
        <v>615.7423086393062</v>
      </c>
      <c r="L27" s="30">
        <f t="shared" si="11"/>
        <v>678.73971085861785</v>
      </c>
      <c r="M27" s="30">
        <f t="shared" si="12"/>
        <v>1357479.4217172358</v>
      </c>
      <c r="N27" s="4"/>
      <c r="O27" s="4"/>
      <c r="Q27" s="4"/>
      <c r="R27" s="4"/>
      <c r="S27" s="16"/>
      <c r="X27" s="43">
        <v>0.1511985506828121</v>
      </c>
      <c r="Y27" s="43">
        <v>6.1399999999999996E-2</v>
      </c>
    </row>
    <row r="28" spans="1:31">
      <c r="B28" s="1" t="s">
        <v>11</v>
      </c>
      <c r="C28">
        <f t="shared" si="13"/>
        <v>4.4000000000000003E-3</v>
      </c>
      <c r="H28" s="17" t="s">
        <v>39</v>
      </c>
      <c r="I28" s="30">
        <f>I23/(1-(X17+X18+X19+X20))</f>
        <v>1155700908.7072067</v>
      </c>
      <c r="J28" s="30">
        <f t="shared" ref="J28" si="15">SUM(J23:J27)</f>
        <v>10028376362.203686</v>
      </c>
      <c r="K28" s="30">
        <f>SUM(K23:K27)</f>
        <v>10028.376362203688</v>
      </c>
      <c r="L28" s="30">
        <f>SUM(L23:L27)</f>
        <v>11054.392684993778</v>
      </c>
      <c r="M28" s="30">
        <f>SUM(M23:M27)</f>
        <v>22108785.369987562</v>
      </c>
      <c r="N28" s="4"/>
      <c r="O28" s="4"/>
      <c r="P28" t="s">
        <v>45</v>
      </c>
      <c r="Q28" s="4"/>
      <c r="R28" s="4"/>
      <c r="S28" s="4"/>
    </row>
    <row r="29" spans="1:31">
      <c r="C29">
        <f>B19/$B$19</f>
        <v>1</v>
      </c>
      <c r="K29" s="16"/>
      <c r="L29" s="4"/>
      <c r="M29" s="4"/>
      <c r="N29" s="4"/>
      <c r="O29" s="4"/>
      <c r="P29" t="s">
        <v>48</v>
      </c>
      <c r="Q29" s="4"/>
      <c r="S29" s="4"/>
    </row>
    <row r="30" spans="1:31">
      <c r="A30" s="16"/>
      <c r="K30" s="16"/>
      <c r="L30" s="4"/>
      <c r="M30" s="4"/>
      <c r="N30" s="4"/>
      <c r="O30" s="4"/>
      <c r="P30" t="s">
        <v>46</v>
      </c>
      <c r="Q30" s="4"/>
      <c r="S30" s="4"/>
    </row>
    <row r="31" spans="1:31" ht="47.25">
      <c r="A31" s="34" t="s">
        <v>40</v>
      </c>
      <c r="B31" s="3" t="s">
        <v>15</v>
      </c>
      <c r="C31" s="3" t="s">
        <v>20</v>
      </c>
      <c r="D31" s="3" t="s">
        <v>12</v>
      </c>
      <c r="E31" s="3" t="s">
        <v>19</v>
      </c>
      <c r="F31" s="3" t="s">
        <v>21</v>
      </c>
      <c r="H31" s="34" t="s">
        <v>41</v>
      </c>
      <c r="I31" s="3" t="s">
        <v>15</v>
      </c>
      <c r="J31" s="3" t="s">
        <v>20</v>
      </c>
      <c r="K31" s="3" t="s">
        <v>12</v>
      </c>
      <c r="L31" s="3" t="s">
        <v>19</v>
      </c>
      <c r="M31" s="3" t="s">
        <v>21</v>
      </c>
      <c r="N31" s="4"/>
      <c r="O31" s="4"/>
      <c r="S31" s="4"/>
    </row>
    <row r="32" spans="1:31">
      <c r="A32" s="16" t="s">
        <v>7</v>
      </c>
      <c r="B32" s="30">
        <f>B14</f>
        <v>76821313.650254399</v>
      </c>
      <c r="C32" s="30">
        <f>B32*E4</f>
        <v>2151764995.3436255</v>
      </c>
      <c r="D32" s="30">
        <f>C32/1000000</f>
        <v>2151.7649953436257</v>
      </c>
      <c r="E32" s="30">
        <f>D32*1.10231131</f>
        <v>2371.914890829376</v>
      </c>
      <c r="F32" s="30">
        <f>D32*2204.62262</f>
        <v>4743829.7816587519</v>
      </c>
      <c r="H32" s="16" t="s">
        <v>0</v>
      </c>
      <c r="I32" s="47">
        <f>I33*(U16/$U$19)</f>
        <v>695498918.46771049</v>
      </c>
      <c r="J32" s="30">
        <f>I32*B4</f>
        <v>8353637509.7156706</v>
      </c>
      <c r="K32" s="30">
        <f>J32/1000000</f>
        <v>8353.6375097156706</v>
      </c>
      <c r="L32" s="30">
        <f>K32*1.10231131</f>
        <v>9208.3091065998178</v>
      </c>
      <c r="M32" s="30">
        <f>K32*2204.62262</f>
        <v>18416618.213199638</v>
      </c>
      <c r="N32" s="4"/>
      <c r="O32" s="4"/>
      <c r="P32" s="16"/>
      <c r="Q32" s="4"/>
      <c r="R32" s="4"/>
      <c r="S32" s="4"/>
      <c r="U32" s="31"/>
      <c r="V32" s="31"/>
    </row>
    <row r="33" spans="1:22">
      <c r="A33" s="16" t="s">
        <v>8</v>
      </c>
      <c r="B33" s="30">
        <f>$B$32*(U5/$U$4)</f>
        <v>2661699.674613636</v>
      </c>
      <c r="C33" s="30">
        <f t="shared" ref="C33:C39" si="16">B33*E5</f>
        <v>117138740.9800715</v>
      </c>
      <c r="D33" s="30">
        <f t="shared" ref="D33:D39" si="17">C33/1000000</f>
        <v>117.1387409800715</v>
      </c>
      <c r="E33" s="30">
        <f t="shared" ref="E33:E39" si="18">D33*1.10231131</f>
        <v>129.12335902149329</v>
      </c>
      <c r="F33" s="30">
        <f t="shared" ref="F33:F39" si="19">D33*2204.62262</f>
        <v>258246.71804298661</v>
      </c>
      <c r="H33" s="16" t="s">
        <v>2</v>
      </c>
      <c r="I33" s="30">
        <f>I34*(U17/$U$19)</f>
        <v>105829806.16758013</v>
      </c>
      <c r="J33" s="30">
        <f>I33*B5</f>
        <v>106665861.63630401</v>
      </c>
      <c r="K33" s="30">
        <f t="shared" ref="K33:K36" si="20">J33/1000000</f>
        <v>106.665861636304</v>
      </c>
      <c r="L33" s="30">
        <f t="shared" ref="L33:L36" si="21">K33*1.10231131</f>
        <v>117.57898567259301</v>
      </c>
      <c r="M33" s="30">
        <f t="shared" ref="M33:M36" si="22">K33*2204.62262</f>
        <v>235157.97134518603</v>
      </c>
      <c r="N33" s="4"/>
      <c r="O33" s="4"/>
      <c r="P33" s="16"/>
      <c r="Q33" s="4"/>
      <c r="R33" s="4"/>
      <c r="S33" s="4"/>
      <c r="U33" s="31"/>
      <c r="V33" s="31"/>
    </row>
    <row r="34" spans="1:22">
      <c r="A34" s="16" t="s">
        <v>9</v>
      </c>
      <c r="B34" s="30">
        <f>$B$32*(U6/$U$4)</f>
        <v>110393.07406231669</v>
      </c>
      <c r="C34" s="30">
        <f t="shared" si="16"/>
        <v>1770991.9299521218</v>
      </c>
      <c r="D34" s="30">
        <f t="shared" si="17"/>
        <v>1.7709919299521217</v>
      </c>
      <c r="E34" s="30">
        <f t="shared" si="18"/>
        <v>1.9521844343049515</v>
      </c>
      <c r="F34" s="30">
        <f t="shared" si="19"/>
        <v>3904.3688686099031</v>
      </c>
      <c r="H34" s="16" t="s">
        <v>3</v>
      </c>
      <c r="I34" s="30">
        <f>I35*(U18/$U$19)</f>
        <v>17248407.86762936</v>
      </c>
      <c r="J34" s="30">
        <f>I34*B6</f>
        <v>275957277.47420216</v>
      </c>
      <c r="K34" s="30">
        <f t="shared" si="20"/>
        <v>275.95727747420216</v>
      </c>
      <c r="L34" s="30">
        <f t="shared" si="21"/>
        <v>304.19082803662127</v>
      </c>
      <c r="M34" s="30">
        <f t="shared" si="22"/>
        <v>608381.65607324254</v>
      </c>
      <c r="N34" s="4"/>
      <c r="O34" s="4"/>
      <c r="P34" s="4"/>
      <c r="Q34" s="4"/>
      <c r="R34" s="4"/>
      <c r="S34" s="4"/>
      <c r="U34" s="31"/>
      <c r="V34" s="31"/>
    </row>
    <row r="35" spans="1:22">
      <c r="A35" s="16" t="s">
        <v>10</v>
      </c>
      <c r="B35" s="30">
        <f t="shared" ref="B35:B39" si="23">$B$32*(U7/$U$4)</f>
        <v>32063055.066543989</v>
      </c>
      <c r="C35" s="30">
        <f t="shared" si="16"/>
        <v>64632706.403139375</v>
      </c>
      <c r="D35" s="30">
        <f t="shared" si="17"/>
        <v>64.63270640313938</v>
      </c>
      <c r="E35" s="30">
        <f t="shared" si="18"/>
        <v>71.24536326408996</v>
      </c>
      <c r="F35" s="30">
        <f t="shared" si="19"/>
        <v>142490.72652817992</v>
      </c>
      <c r="H35" s="16" t="s">
        <v>4</v>
      </c>
      <c r="I35" s="47">
        <f>I17</f>
        <v>2426516.7269283505</v>
      </c>
      <c r="J35" s="30">
        <f>I35*B7</f>
        <v>33988219.794085406</v>
      </c>
      <c r="K35" s="30">
        <f t="shared" si="20"/>
        <v>33.988219794085403</v>
      </c>
      <c r="L35" s="30">
        <f t="shared" si="21"/>
        <v>37.465599085786209</v>
      </c>
      <c r="M35" s="30">
        <f t="shared" si="22"/>
        <v>74931.198171572425</v>
      </c>
      <c r="N35" s="4"/>
      <c r="O35" s="4"/>
      <c r="P35" s="4"/>
      <c r="Q35" s="4"/>
      <c r="R35" s="4"/>
      <c r="S35" s="4"/>
      <c r="U35" s="31"/>
      <c r="V35" s="31"/>
    </row>
    <row r="36" spans="1:22">
      <c r="A36" s="16" t="s">
        <v>11</v>
      </c>
      <c r="B36" s="30">
        <f t="shared" si="23"/>
        <v>6059353.1763093835</v>
      </c>
      <c r="C36" s="30">
        <f t="shared" si="16"/>
        <v>169746719.88113105</v>
      </c>
      <c r="D36" s="30">
        <f t="shared" si="17"/>
        <v>169.74671988113104</v>
      </c>
      <c r="E36" s="30">
        <f t="shared" si="18"/>
        <v>187.1137291603726</v>
      </c>
      <c r="F36" s="30">
        <f t="shared" si="19"/>
        <v>374227.45832074521</v>
      </c>
      <c r="H36" s="16" t="s">
        <v>5</v>
      </c>
      <c r="I36" s="30">
        <f>I35*(U20/U19)</f>
        <v>198935.07579068461</v>
      </c>
      <c r="J36" s="30">
        <f>I36*B8</f>
        <v>6379052.1403040932</v>
      </c>
      <c r="K36" s="30">
        <f t="shared" si="20"/>
        <v>6.3790521403040934</v>
      </c>
      <c r="L36" s="30">
        <f t="shared" si="21"/>
        <v>7.0317013213369082</v>
      </c>
      <c r="M36" s="30">
        <f t="shared" si="22"/>
        <v>14063.402642673818</v>
      </c>
      <c r="U36" s="31"/>
      <c r="V36" s="31"/>
    </row>
    <row r="37" spans="1:22">
      <c r="A37" s="16" t="s">
        <v>22</v>
      </c>
      <c r="B37" s="30">
        <f t="shared" si="23"/>
        <v>3949618.8720073309</v>
      </c>
      <c r="C37" s="30">
        <f t="shared" si="16"/>
        <v>71151594.055437669</v>
      </c>
      <c r="D37" s="30">
        <f t="shared" si="17"/>
        <v>71.15159405543767</v>
      </c>
      <c r="E37" s="30">
        <f t="shared" si="18"/>
        <v>78.4312068518377</v>
      </c>
      <c r="F37" s="30">
        <f t="shared" si="19"/>
        <v>156862.41370367544</v>
      </c>
      <c r="H37" s="17" t="s">
        <v>14</v>
      </c>
      <c r="I37" s="30">
        <f>SUM(I32:I36)</f>
        <v>821202584.30563903</v>
      </c>
      <c r="J37" s="30">
        <f t="shared" ref="J37:M37" si="24">SUM(J32:J36)</f>
        <v>8776627920.7605648</v>
      </c>
      <c r="K37" s="30">
        <f t="shared" si="24"/>
        <v>8776.6279207605676</v>
      </c>
      <c r="L37" s="30">
        <f t="shared" si="24"/>
        <v>9674.5762207161551</v>
      </c>
      <c r="M37" s="30">
        <f t="shared" si="24"/>
        <v>19349152.441432312</v>
      </c>
      <c r="U37" s="31"/>
      <c r="V37" s="31"/>
    </row>
    <row r="38" spans="1:22">
      <c r="A38" s="16" t="s">
        <v>23</v>
      </c>
      <c r="B38" s="30">
        <f t="shared" si="23"/>
        <v>944474.07808870962</v>
      </c>
      <c r="C38" s="30">
        <f t="shared" si="16"/>
        <v>32189376.634603783</v>
      </c>
      <c r="D38" s="30">
        <f t="shared" si="17"/>
        <v>32.189376634603782</v>
      </c>
      <c r="E38" s="30">
        <f t="shared" si="18"/>
        <v>35.482713926173481</v>
      </c>
      <c r="F38" s="30">
        <f t="shared" si="19"/>
        <v>70965.427852346969</v>
      </c>
    </row>
    <row r="39" spans="1:22">
      <c r="A39" s="16" t="s">
        <v>24</v>
      </c>
      <c r="B39" s="30">
        <f t="shared" si="23"/>
        <v>49063.588472140756</v>
      </c>
      <c r="C39" s="30">
        <f t="shared" si="16"/>
        <v>2947544.1410523281</v>
      </c>
      <c r="D39" s="30">
        <f t="shared" si="17"/>
        <v>2.9475441410523282</v>
      </c>
      <c r="E39" s="30">
        <f t="shared" si="18"/>
        <v>3.2491112434062166</v>
      </c>
      <c r="F39" s="30">
        <f t="shared" si="19"/>
        <v>6498.222486812434</v>
      </c>
    </row>
    <row r="40" spans="1:22">
      <c r="A40" s="17" t="s">
        <v>14</v>
      </c>
      <c r="B40" s="30">
        <f>SUM(B32:B39)</f>
        <v>122658971.1803519</v>
      </c>
      <c r="C40" s="30">
        <f t="shared" ref="C40:D40" si="25">SUM(C32:C39)</f>
        <v>2611342669.3690138</v>
      </c>
      <c r="D40" s="30">
        <f t="shared" si="25"/>
        <v>2611.3426693690135</v>
      </c>
      <c r="E40" s="30">
        <f>SUM(E32:E39)</f>
        <v>2878.512558731054</v>
      </c>
      <c r="F40" s="30">
        <f t="shared" ref="F40" si="26">SUM(F32:F39)</f>
        <v>5757025.1174621079</v>
      </c>
    </row>
    <row r="43" spans="1:22" ht="47.25">
      <c r="A43" s="40" t="s">
        <v>62</v>
      </c>
      <c r="B43" s="3" t="s">
        <v>15</v>
      </c>
      <c r="C43" s="3" t="s">
        <v>49</v>
      </c>
      <c r="D43" s="3" t="s">
        <v>12</v>
      </c>
      <c r="E43" s="3" t="s">
        <v>19</v>
      </c>
      <c r="F43" s="3" t="s">
        <v>21</v>
      </c>
      <c r="H43" s="41" t="s">
        <v>63</v>
      </c>
      <c r="I43" s="3" t="s">
        <v>15</v>
      </c>
      <c r="J43" s="3" t="s">
        <v>20</v>
      </c>
      <c r="K43" s="3" t="s">
        <v>12</v>
      </c>
      <c r="L43" s="3" t="s">
        <v>19</v>
      </c>
      <c r="M43" s="3" t="s">
        <v>21</v>
      </c>
    </row>
    <row r="44" spans="1:22">
      <c r="A44" s="1" t="s">
        <v>22</v>
      </c>
      <c r="B44">
        <f>((2*B34)+B35+B37+B38)-(0.5*I24)</f>
        <v>-161817528.92093205</v>
      </c>
      <c r="C44">
        <f>B44*E9</f>
        <v>-2915110420.004807</v>
      </c>
      <c r="D44">
        <f>C44/1000000</f>
        <v>-2915.1104200048071</v>
      </c>
      <c r="E44">
        <f>D44*1.10231131</f>
        <v>-3213.3591858701488</v>
      </c>
      <c r="F44">
        <f>D44*2204.62262</f>
        <v>-6426718.3717402983</v>
      </c>
      <c r="H44" s="1" t="s">
        <v>2</v>
      </c>
      <c r="I44">
        <f>2*B44</f>
        <v>-323635057.84186411</v>
      </c>
      <c r="J44">
        <f>I44*B5</f>
        <v>-326191774.79881483</v>
      </c>
      <c r="K44">
        <f>J44/1000000</f>
        <v>-326.19177479881483</v>
      </c>
      <c r="L44">
        <f>K44*1.10231131</f>
        <v>-359.56488258970654</v>
      </c>
      <c r="M44">
        <f>K44*2204.62262</f>
        <v>-719129.76517941314</v>
      </c>
    </row>
    <row r="45" spans="1:22">
      <c r="H45" s="1" t="s">
        <v>3</v>
      </c>
      <c r="I45">
        <f>B44</f>
        <v>-161817528.92093205</v>
      </c>
      <c r="J45">
        <f>I45*B6</f>
        <v>-2588918645.2059922</v>
      </c>
      <c r="K45">
        <f>J45/1000000</f>
        <v>-2588.9186452059921</v>
      </c>
      <c r="L45">
        <f>K45*1.10231131</f>
        <v>-2853.7943032804424</v>
      </c>
      <c r="M45">
        <f>K45*2204.62262</f>
        <v>-5707588.606560885</v>
      </c>
    </row>
    <row r="46" spans="1:22">
      <c r="H46" s="1" t="s">
        <v>14</v>
      </c>
      <c r="I46">
        <f>SUM(I44:I45)</f>
        <v>-485452586.76279616</v>
      </c>
      <c r="J46">
        <f>SUM(J44:J45)</f>
        <v>-2915110420.004807</v>
      </c>
      <c r="K46">
        <f>SUM(K44:K45)</f>
        <v>-2915.1104200048071</v>
      </c>
      <c r="L46">
        <f>SUM(L44:L45)</f>
        <v>-3213.3591858701488</v>
      </c>
      <c r="M46">
        <f>SUM(M44:M45)</f>
        <v>-6426718.3717402983</v>
      </c>
    </row>
    <row r="49" spans="1:19" ht="63">
      <c r="A49" s="34" t="s">
        <v>64</v>
      </c>
      <c r="B49" s="3" t="s">
        <v>15</v>
      </c>
      <c r="C49" s="3" t="s">
        <v>20</v>
      </c>
      <c r="D49" s="3" t="s">
        <v>12</v>
      </c>
      <c r="E49" s="3" t="s">
        <v>19</v>
      </c>
      <c r="F49" s="3" t="s">
        <v>21</v>
      </c>
      <c r="H49" s="34" t="s">
        <v>65</v>
      </c>
      <c r="I49" s="3" t="s">
        <v>15</v>
      </c>
      <c r="J49" s="3" t="s">
        <v>20</v>
      </c>
      <c r="K49" s="3" t="s">
        <v>12</v>
      </c>
      <c r="L49" s="3" t="s">
        <v>19</v>
      </c>
      <c r="M49" s="3" t="s">
        <v>21</v>
      </c>
    </row>
    <row r="50" spans="1:19">
      <c r="A50" s="1" t="s">
        <v>61</v>
      </c>
      <c r="B50">
        <f>((0.5*B32)+(B33)+(0.5*B37)+(0.5*B39))-(0.5*I25)-(0.5*B44)</f>
        <v>110065220.28526992</v>
      </c>
      <c r="C50">
        <f>B50*(B6*2)</f>
        <v>3521866918.688067</v>
      </c>
      <c r="D50">
        <f>C50/1000000</f>
        <v>3521.866918688067</v>
      </c>
      <c r="E50">
        <f>D50*1.10231131</f>
        <v>3882.1937367847063</v>
      </c>
      <c r="F50">
        <f>D50*2204.62262</f>
        <v>7764387.4735694136</v>
      </c>
      <c r="H50" s="1" t="s">
        <v>3</v>
      </c>
      <c r="I50">
        <f>(2*B50)</f>
        <v>220130440.57053983</v>
      </c>
      <c r="J50">
        <f>I50*B6</f>
        <v>3521866918.688067</v>
      </c>
      <c r="K50">
        <f>J50/1000000</f>
        <v>3521.866918688067</v>
      </c>
      <c r="L50">
        <f>K50*1.10231131</f>
        <v>3882.1937367847063</v>
      </c>
      <c r="M50">
        <f>K50*2204.62262</f>
        <v>7764387.4735694136</v>
      </c>
    </row>
    <row r="51" spans="1:19">
      <c r="A51" s="1" t="s">
        <v>53</v>
      </c>
      <c r="B51">
        <f>(0.95*C51/(2*B6))+(0.05*C51/(2*B7))</f>
        <v>116681962.51319367</v>
      </c>
      <c r="C51">
        <f>C50*(1/0.95)</f>
        <v>3707228335.461123</v>
      </c>
      <c r="D51">
        <f>D50*(1/0.95)</f>
        <v>3707.2283354611232</v>
      </c>
      <c r="E51">
        <f>E50*(1/0.95)</f>
        <v>4086.5197229312694</v>
      </c>
      <c r="F51">
        <f>F50*(1/0.95)</f>
        <v>8173039.44586254</v>
      </c>
      <c r="H51" s="1" t="s">
        <v>4</v>
      </c>
      <c r="I51">
        <f>(2*B52)</f>
        <v>13233484.455847502</v>
      </c>
      <c r="J51">
        <f>I51*B7</f>
        <v>185361416.77305594</v>
      </c>
      <c r="K51">
        <f t="shared" ref="K51" si="27">J51/1000000</f>
        <v>185.36141677305594</v>
      </c>
      <c r="L51">
        <f>K51*1.10231131</f>
        <v>204.32598614656325</v>
      </c>
      <c r="M51">
        <f>K51*2204.62262</f>
        <v>408651.97229312651</v>
      </c>
    </row>
    <row r="52" spans="1:19">
      <c r="A52" s="1" t="s">
        <v>11</v>
      </c>
      <c r="B52">
        <f>B51-B50</f>
        <v>6616742.2279237509</v>
      </c>
      <c r="C52">
        <f>C51-C50</f>
        <v>185361416.77305603</v>
      </c>
      <c r="D52">
        <f>D51-D50</f>
        <v>185.36141677305613</v>
      </c>
      <c r="E52">
        <f>E51-E50</f>
        <v>204.32598614656308</v>
      </c>
      <c r="F52">
        <f>F51-F50</f>
        <v>408651.9722931264</v>
      </c>
      <c r="H52" s="1" t="s">
        <v>14</v>
      </c>
      <c r="I52">
        <f>SUM(I50:I51)</f>
        <v>233363925.02638733</v>
      </c>
      <c r="J52">
        <f>SUM(J50:J51)</f>
        <v>3707228335.461123</v>
      </c>
      <c r="K52">
        <f>SUM(K50:K51)</f>
        <v>3707.2283354611232</v>
      </c>
      <c r="L52">
        <f>SUM(L50:L51)</f>
        <v>4086.5197229312694</v>
      </c>
      <c r="M52">
        <f>SUM(M50:M51)</f>
        <v>8173039.44586254</v>
      </c>
    </row>
    <row r="54" spans="1:19" ht="30">
      <c r="A54" s="38" t="s">
        <v>70</v>
      </c>
      <c r="B54" s="3"/>
      <c r="C54" s="3"/>
      <c r="D54" s="3"/>
      <c r="E54" s="3"/>
      <c r="F54" s="3"/>
      <c r="H54" s="30"/>
    </row>
    <row r="55" spans="1:19" ht="30">
      <c r="A55" s="38" t="s">
        <v>51</v>
      </c>
      <c r="B55" s="1" t="s">
        <v>50</v>
      </c>
      <c r="C55" s="1" t="s">
        <v>52</v>
      </c>
      <c r="D55" s="1" t="s">
        <v>53</v>
      </c>
      <c r="E55" s="1" t="s">
        <v>56</v>
      </c>
      <c r="F55" s="1" t="s">
        <v>55</v>
      </c>
      <c r="G55" s="1" t="s">
        <v>54</v>
      </c>
    </row>
    <row r="56" spans="1:19">
      <c r="A56" t="s">
        <v>71</v>
      </c>
      <c r="B56" s="32">
        <f>L28</f>
        <v>11054.392684993778</v>
      </c>
      <c r="C56" s="32">
        <f>E44</f>
        <v>-3213.3591858701488</v>
      </c>
      <c r="D56" s="32">
        <f>E51</f>
        <v>4086.5197229312694</v>
      </c>
      <c r="E56" s="32">
        <f>SUM(B56:D56)</f>
        <v>11927.553222054898</v>
      </c>
      <c r="F56" s="32">
        <f>E40</f>
        <v>2878.512558731054</v>
      </c>
      <c r="G56" s="32">
        <f>L19</f>
        <v>3306.9339288976871</v>
      </c>
      <c r="H56" t="s">
        <v>74</v>
      </c>
    </row>
    <row r="57" spans="1:19">
      <c r="A57" s="16" t="s">
        <v>0</v>
      </c>
      <c r="B57" s="30">
        <f>$B$56*Y16</f>
        <v>9208.309106599816</v>
      </c>
      <c r="C57" s="30">
        <f>$C$56*AE16</f>
        <v>0</v>
      </c>
      <c r="D57" s="30">
        <f>$D$56*AE16</f>
        <v>0</v>
      </c>
      <c r="E57" s="44">
        <f>SUM(B57:D57)</f>
        <v>9208.309106599816</v>
      </c>
      <c r="F57" s="44">
        <f>$F$56*V32</f>
        <v>0</v>
      </c>
      <c r="G57" s="30">
        <f>$G$56*R16</f>
        <v>1153.2771132669179</v>
      </c>
    </row>
    <row r="58" spans="1:19">
      <c r="A58" s="16" t="s">
        <v>2</v>
      </c>
      <c r="B58" s="30">
        <f t="shared" ref="B58:B61" si="28">$B$56*Y17</f>
        <v>442.1757073997511</v>
      </c>
      <c r="C58" s="30">
        <f t="shared" ref="C58:C61" si="29">$C$56*AE17</f>
        <v>-359.56488258970654</v>
      </c>
      <c r="D58" s="30">
        <f t="shared" ref="D58:D61" si="30">$D$56*AE17</f>
        <v>457.26882660284053</v>
      </c>
      <c r="E58" s="30">
        <f t="shared" ref="E58:E61" si="31">SUM(B58:D58)</f>
        <v>539.8796514128851</v>
      </c>
      <c r="F58" s="30">
        <f>$F$56*V33</f>
        <v>0</v>
      </c>
      <c r="G58" s="30">
        <f t="shared" ref="G58:G61" si="32">$G$56*R17</f>
        <v>419.02981509514495</v>
      </c>
    </row>
    <row r="59" spans="1:19">
      <c r="A59" s="16" t="s">
        <v>3</v>
      </c>
      <c r="B59" s="30">
        <f t="shared" si="28"/>
        <v>490.81503521372377</v>
      </c>
      <c r="C59" s="30">
        <f t="shared" si="29"/>
        <v>-2853.7943032804424</v>
      </c>
      <c r="D59" s="30">
        <f t="shared" si="30"/>
        <v>3629.2508963284286</v>
      </c>
      <c r="E59" s="30">
        <f t="shared" si="31"/>
        <v>1266.2716282617098</v>
      </c>
      <c r="F59" s="30">
        <f>$F$56*V34</f>
        <v>0</v>
      </c>
      <c r="G59" s="30">
        <f t="shared" si="32"/>
        <v>1697.1614014498373</v>
      </c>
    </row>
    <row r="60" spans="1:19">
      <c r="A60" s="16" t="s">
        <v>4</v>
      </c>
      <c r="B60" s="30">
        <f t="shared" si="28"/>
        <v>234.3531249218681</v>
      </c>
      <c r="C60" s="30">
        <f t="shared" si="29"/>
        <v>0</v>
      </c>
      <c r="D60" s="30">
        <f>$D$56*AE19</f>
        <v>0</v>
      </c>
      <c r="E60" s="30">
        <f t="shared" si="31"/>
        <v>234.3531249218681</v>
      </c>
      <c r="F60" s="30">
        <f>$F$56*V35</f>
        <v>0</v>
      </c>
      <c r="G60" s="30">
        <f t="shared" si="32"/>
        <v>37.465599085786202</v>
      </c>
      <c r="R60" s="4"/>
      <c r="S60" s="4"/>
    </row>
    <row r="61" spans="1:19">
      <c r="A61" s="16" t="s">
        <v>5</v>
      </c>
      <c r="B61" s="30">
        <f t="shared" si="28"/>
        <v>678.73971085861797</v>
      </c>
      <c r="C61" s="30">
        <f t="shared" si="29"/>
        <v>0</v>
      </c>
      <c r="D61" s="30">
        <f t="shared" si="30"/>
        <v>0</v>
      </c>
      <c r="E61" s="30">
        <f t="shared" si="31"/>
        <v>678.73971085861797</v>
      </c>
      <c r="F61" s="30">
        <f>$F$56*V36</f>
        <v>0</v>
      </c>
      <c r="G61" s="30">
        <f t="shared" si="32"/>
        <v>0</v>
      </c>
      <c r="R61" s="4"/>
      <c r="S61" s="4"/>
    </row>
    <row r="62" spans="1:19" ht="61.5">
      <c r="A62" s="17"/>
      <c r="B62" s="30"/>
      <c r="C62" s="30"/>
      <c r="E62" s="63" t="s">
        <v>124</v>
      </c>
      <c r="F62" s="30"/>
      <c r="R62" s="4"/>
      <c r="S62" s="4"/>
    </row>
    <row r="63" spans="1:19">
      <c r="B63" s="30"/>
      <c r="C63" s="30"/>
      <c r="E63" s="30"/>
      <c r="R63" s="4"/>
      <c r="S63" s="4"/>
    </row>
    <row r="64" spans="1:19">
      <c r="E64" s="45" t="s">
        <v>75</v>
      </c>
      <c r="F64" s="45"/>
      <c r="G64" s="45"/>
      <c r="H64" s="45"/>
      <c r="I64" s="45"/>
      <c r="J64" s="45"/>
      <c r="R64" s="4"/>
      <c r="S6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13"/>
  <sheetViews>
    <sheetView tabSelected="1" topLeftCell="A15" zoomScale="78" zoomScaleNormal="78" workbookViewId="0">
      <selection activeCell="J8" sqref="J8"/>
    </sheetView>
  </sheetViews>
  <sheetFormatPr defaultRowHeight="15"/>
  <cols>
    <col min="1" max="1" width="12.42578125" customWidth="1"/>
    <col min="2" max="2" width="13.140625" customWidth="1"/>
    <col min="3" max="3" width="14.28515625" customWidth="1"/>
    <col min="4" max="4" width="12.140625" bestFit="1" customWidth="1"/>
    <col min="5" max="5" width="9.28515625" bestFit="1" customWidth="1"/>
    <col min="6" max="6" width="11" customWidth="1"/>
    <col min="7" max="7" width="11.42578125" customWidth="1"/>
    <col min="8" max="8" width="13.28515625" customWidth="1"/>
    <col min="9" max="9" width="14" customWidth="1"/>
    <col min="10" max="10" width="15.28515625" customWidth="1"/>
    <col min="11" max="11" width="10.85546875" customWidth="1"/>
    <col min="12" max="12" width="10.42578125" customWidth="1"/>
    <col min="13" max="13" width="10.5703125" customWidth="1"/>
    <col min="16" max="16" width="14.28515625" customWidth="1"/>
    <col min="17" max="17" width="13.85546875" customWidth="1"/>
    <col min="18" max="18" width="14" bestFit="1" customWidth="1"/>
    <col min="19" max="19" width="10.28515625" customWidth="1"/>
    <col min="20" max="20" width="11.5703125" customWidth="1"/>
    <col min="21" max="21" width="13.140625" bestFit="1" customWidth="1"/>
  </cols>
  <sheetData>
    <row r="1" spans="1:34" ht="15.75">
      <c r="Q1" s="9" t="s">
        <v>27</v>
      </c>
      <c r="R1" s="9"/>
    </row>
    <row r="2" spans="1:34" ht="45">
      <c r="A2" s="10" t="s">
        <v>1</v>
      </c>
      <c r="B2" s="26"/>
      <c r="C2" s="26"/>
      <c r="D2" s="26" t="s">
        <v>6</v>
      </c>
      <c r="E2" s="19"/>
      <c r="P2" s="4"/>
      <c r="Q2" s="20" t="s">
        <v>26</v>
      </c>
      <c r="R2" s="24"/>
      <c r="S2" s="4"/>
      <c r="T2" s="4"/>
      <c r="U2" s="20" t="s">
        <v>29</v>
      </c>
      <c r="V2" s="22"/>
      <c r="X2" s="8" t="s">
        <v>69</v>
      </c>
      <c r="Y2" s="8"/>
      <c r="AB2" s="61" t="s">
        <v>103</v>
      </c>
    </row>
    <row r="3" spans="1:34">
      <c r="A3" s="11" t="s">
        <v>0</v>
      </c>
      <c r="B3" s="4">
        <v>12.010999999999999</v>
      </c>
      <c r="C3" s="4">
        <v>12.010999999999999</v>
      </c>
      <c r="D3" s="4" t="s">
        <v>7</v>
      </c>
      <c r="E3" s="13">
        <v>28.009999999999998</v>
      </c>
      <c r="H3" s="16"/>
      <c r="P3" s="4" t="s">
        <v>30</v>
      </c>
      <c r="Q3" s="12" t="s">
        <v>28</v>
      </c>
      <c r="R3" s="16" t="s">
        <v>25</v>
      </c>
      <c r="S3" s="4"/>
      <c r="T3" s="4" t="s">
        <v>31</v>
      </c>
      <c r="U3" s="12" t="s">
        <v>28</v>
      </c>
      <c r="V3" s="23" t="s">
        <v>25</v>
      </c>
      <c r="Y3" s="1" t="s">
        <v>28</v>
      </c>
      <c r="Z3" s="1" t="s">
        <v>25</v>
      </c>
      <c r="AB3" s="1" t="s">
        <v>28</v>
      </c>
      <c r="AC3" s="1" t="s">
        <v>25</v>
      </c>
    </row>
    <row r="4" spans="1:34">
      <c r="A4" s="11" t="s">
        <v>2</v>
      </c>
      <c r="B4" s="4">
        <v>1.0079</v>
      </c>
      <c r="C4" s="4">
        <v>1.0079</v>
      </c>
      <c r="D4" s="4" t="s">
        <v>8</v>
      </c>
      <c r="E4" s="13">
        <v>44.009</v>
      </c>
      <c r="H4" s="16"/>
      <c r="K4" s="16"/>
      <c r="P4" s="16" t="s">
        <v>7</v>
      </c>
      <c r="Q4" s="35">
        <v>0.27860000000000001</v>
      </c>
      <c r="R4" s="35">
        <v>0.71725499868696041</v>
      </c>
      <c r="S4" s="4"/>
      <c r="T4" s="16" t="s">
        <v>7</v>
      </c>
      <c r="U4" s="37">
        <v>0.62630000000000008</v>
      </c>
      <c r="V4" s="37">
        <v>0.82400713647572066</v>
      </c>
      <c r="X4" s="1" t="s">
        <v>61</v>
      </c>
      <c r="Y4">
        <v>0.94329250138233178</v>
      </c>
      <c r="Z4">
        <v>0.95</v>
      </c>
      <c r="AB4">
        <f>B70/$B$78</f>
        <v>0.19498016579678518</v>
      </c>
      <c r="AC4">
        <f>D45/$D$53</f>
        <v>0.86707853762544418</v>
      </c>
    </row>
    <row r="5" spans="1:34">
      <c r="A5" s="11" t="s">
        <v>3</v>
      </c>
      <c r="B5" s="4">
        <v>15.999000000000001</v>
      </c>
      <c r="C5" s="4">
        <v>15.999000000000001</v>
      </c>
      <c r="D5" s="4" t="s">
        <v>9</v>
      </c>
      <c r="E5" s="13">
        <v>16.0426</v>
      </c>
      <c r="H5" s="16"/>
      <c r="K5" s="16"/>
      <c r="P5" s="16" t="s">
        <v>8</v>
      </c>
      <c r="Q5" s="35">
        <v>3.5200000000000002E-2</v>
      </c>
      <c r="R5" s="35">
        <v>0.14238476622798141</v>
      </c>
      <c r="S5" s="4"/>
      <c r="T5" s="16" t="s">
        <v>8</v>
      </c>
      <c r="U5" s="37">
        <v>2.1700000000000001E-2</v>
      </c>
      <c r="V5" s="37">
        <v>4.4857667419180985E-2</v>
      </c>
      <c r="X5" s="1" t="s">
        <v>11</v>
      </c>
      <c r="Y5">
        <v>5.6707498617668273E-2</v>
      </c>
      <c r="Z5">
        <v>4.9999999999999996E-2</v>
      </c>
      <c r="AB5">
        <f t="shared" ref="AB5:AB11" si="0">B71/$B$78</f>
        <v>0.29131962904961595</v>
      </c>
      <c r="AC5">
        <f t="shared" ref="AC5:AC11" si="1">D46/$D$53</f>
        <v>3.7761926027453062E-2</v>
      </c>
    </row>
    <row r="6" spans="1:34">
      <c r="A6" s="11" t="s">
        <v>4</v>
      </c>
      <c r="B6" s="4">
        <v>14.007</v>
      </c>
      <c r="C6" s="4">
        <v>14.007</v>
      </c>
      <c r="D6" s="4" t="s">
        <v>10</v>
      </c>
      <c r="E6" s="13">
        <v>2.0158</v>
      </c>
      <c r="H6" s="16"/>
      <c r="K6" s="16"/>
      <c r="P6" s="16" t="s">
        <v>9</v>
      </c>
      <c r="Q6" s="35">
        <v>2.0999999999999999E-3</v>
      </c>
      <c r="R6" s="35">
        <v>3.0965165999406433E-3</v>
      </c>
      <c r="S6" s="4"/>
      <c r="T6" s="16" t="s">
        <v>9</v>
      </c>
      <c r="U6" s="37">
        <v>8.9999999999999998E-4</v>
      </c>
      <c r="V6" s="37">
        <v>6.7819208513911797E-4</v>
      </c>
      <c r="X6" s="1"/>
      <c r="AB6">
        <f t="shared" si="0"/>
        <v>6.7997050517627452E-4</v>
      </c>
      <c r="AC6">
        <f t="shared" si="1"/>
        <v>7.136416365599084E-4</v>
      </c>
    </row>
    <row r="7" spans="1:34">
      <c r="A7" s="11" t="s">
        <v>5</v>
      </c>
      <c r="B7" s="4">
        <v>32.066000000000003</v>
      </c>
      <c r="C7" s="4">
        <v>32.066000000000003</v>
      </c>
      <c r="D7" s="4" t="s">
        <v>11</v>
      </c>
      <c r="E7" s="13">
        <v>28.013999999999999</v>
      </c>
      <c r="H7" s="16"/>
      <c r="K7" s="16"/>
      <c r="P7" s="16" t="s">
        <v>10</v>
      </c>
      <c r="Q7" s="35">
        <v>0.67969999999999997</v>
      </c>
      <c r="R7" s="35">
        <v>0.12593431188331272</v>
      </c>
      <c r="S7" s="4"/>
      <c r="T7" s="16" t="s">
        <v>10</v>
      </c>
      <c r="U7" s="37">
        <v>0.26140000000000002</v>
      </c>
      <c r="V7" s="37">
        <v>2.4750756444674782E-2</v>
      </c>
      <c r="AB7">
        <f t="shared" si="0"/>
        <v>0.47569740914208047</v>
      </c>
      <c r="AC7">
        <f t="shared" si="1"/>
        <v>2.6044494948138704E-2</v>
      </c>
    </row>
    <row r="8" spans="1:34">
      <c r="A8" s="11"/>
      <c r="B8" s="4"/>
      <c r="C8" s="4"/>
      <c r="D8" s="4" t="s">
        <v>22</v>
      </c>
      <c r="E8" s="13">
        <v>18.014800000000001</v>
      </c>
      <c r="H8" s="16"/>
      <c r="K8" s="16"/>
      <c r="P8" s="16" t="s">
        <v>11</v>
      </c>
      <c r="Q8" s="35">
        <v>4.4000000000000003E-3</v>
      </c>
      <c r="R8" s="35">
        <v>1.1329406601804945E-2</v>
      </c>
      <c r="S8" s="4"/>
      <c r="T8" s="16" t="s">
        <v>11</v>
      </c>
      <c r="U8" s="37">
        <v>4.9400000000000006E-2</v>
      </c>
      <c r="V8" s="37">
        <v>6.5003617438743666E-2</v>
      </c>
      <c r="AB8">
        <f t="shared" si="0"/>
        <v>3.7322825506342187E-2</v>
      </c>
      <c r="AC8">
        <f t="shared" si="1"/>
        <v>6.8401399762404155E-2</v>
      </c>
    </row>
    <row r="9" spans="1:34">
      <c r="A9" s="11"/>
      <c r="B9" s="4"/>
      <c r="C9" s="4"/>
      <c r="D9" s="4" t="s">
        <v>23</v>
      </c>
      <c r="E9" s="13">
        <v>34.081800000000001</v>
      </c>
      <c r="H9" s="16"/>
      <c r="K9" s="17"/>
      <c r="P9" s="16" t="s">
        <v>22</v>
      </c>
      <c r="Q9" s="36">
        <v>0</v>
      </c>
      <c r="R9" s="35">
        <v>0</v>
      </c>
      <c r="S9" s="4"/>
      <c r="T9" s="16" t="s">
        <v>22</v>
      </c>
      <c r="U9" s="37">
        <v>3.2199999999999999E-2</v>
      </c>
      <c r="V9" s="37">
        <v>2.7247130332623194E-2</v>
      </c>
      <c r="AB9">
        <f t="shared" si="0"/>
        <v>0</v>
      </c>
      <c r="AC9">
        <f t="shared" si="1"/>
        <v>0</v>
      </c>
    </row>
    <row r="10" spans="1:34">
      <c r="A10" s="27"/>
      <c r="B10" s="15"/>
      <c r="C10" s="15"/>
      <c r="D10" s="15" t="s">
        <v>24</v>
      </c>
      <c r="E10" s="14">
        <v>60.076000000000001</v>
      </c>
      <c r="H10" s="16"/>
      <c r="P10" s="16" t="s">
        <v>23</v>
      </c>
      <c r="Q10" s="36">
        <v>0</v>
      </c>
      <c r="R10" s="35">
        <v>0</v>
      </c>
      <c r="S10" s="4"/>
      <c r="T10" s="16" t="s">
        <v>23</v>
      </c>
      <c r="U10" s="37">
        <v>7.7000000000000002E-3</v>
      </c>
      <c r="V10" s="37">
        <v>1.232675321097625E-2</v>
      </c>
      <c r="AB10">
        <f t="shared" si="0"/>
        <v>0</v>
      </c>
      <c r="AC10">
        <f t="shared" si="1"/>
        <v>0</v>
      </c>
    </row>
    <row r="11" spans="1:34">
      <c r="G11" s="43"/>
      <c r="H11" s="17"/>
      <c r="P11" s="16" t="s">
        <v>24</v>
      </c>
      <c r="Q11" s="36">
        <v>0</v>
      </c>
      <c r="R11" s="35">
        <v>0</v>
      </c>
      <c r="S11" s="4"/>
      <c r="T11" s="16" t="s">
        <v>24</v>
      </c>
      <c r="U11" s="37">
        <v>4.0000000000000002E-4</v>
      </c>
      <c r="V11" s="37">
        <v>1.1287465929412288E-3</v>
      </c>
      <c r="AB11">
        <f t="shared" si="0"/>
        <v>0</v>
      </c>
      <c r="AC11">
        <f t="shared" si="1"/>
        <v>0</v>
      </c>
    </row>
    <row r="12" spans="1:34">
      <c r="A12" t="s">
        <v>58</v>
      </c>
      <c r="B12" s="39">
        <v>1045</v>
      </c>
      <c r="C12" s="29" t="s">
        <v>59</v>
      </c>
      <c r="D12" s="29"/>
      <c r="P12" s="17" t="s">
        <v>14</v>
      </c>
      <c r="Q12" s="37">
        <v>1</v>
      </c>
      <c r="R12" s="36">
        <v>1.0000000000000002</v>
      </c>
      <c r="S12" s="4"/>
      <c r="T12" s="17" t="s">
        <v>14</v>
      </c>
      <c r="U12" s="37">
        <v>1.0000000000000002</v>
      </c>
      <c r="V12" s="37">
        <v>0.99999999999999967</v>
      </c>
      <c r="AA12" s="17" t="s">
        <v>14</v>
      </c>
      <c r="AB12">
        <f>SUM(AB4:AB11)</f>
        <v>1</v>
      </c>
      <c r="AC12">
        <f>SUM(AC4:AC11)</f>
        <v>1</v>
      </c>
    </row>
    <row r="13" spans="1:34" ht="15.75">
      <c r="Q13" s="21" t="s">
        <v>33</v>
      </c>
      <c r="R13" s="9"/>
    </row>
    <row r="14" spans="1:34" ht="47.25">
      <c r="A14" s="55" t="s">
        <v>37</v>
      </c>
      <c r="B14" s="3" t="s">
        <v>15</v>
      </c>
      <c r="C14" s="3" t="s">
        <v>36</v>
      </c>
      <c r="D14" s="3" t="s">
        <v>12</v>
      </c>
      <c r="E14" s="3" t="s">
        <v>19</v>
      </c>
      <c r="F14" s="3" t="s">
        <v>21</v>
      </c>
      <c r="Q14" s="20" t="s">
        <v>26</v>
      </c>
      <c r="U14" s="20" t="s">
        <v>29</v>
      </c>
      <c r="X14" s="8" t="s">
        <v>32</v>
      </c>
      <c r="Y14" t="s">
        <v>38</v>
      </c>
      <c r="AA14" s="8" t="s">
        <v>69</v>
      </c>
      <c r="AB14" s="8"/>
      <c r="AC14" s="8"/>
      <c r="AD14" s="8" t="s">
        <v>52</v>
      </c>
      <c r="AG14" s="61" t="s">
        <v>103</v>
      </c>
    </row>
    <row r="15" spans="1:34">
      <c r="A15" s="1" t="s">
        <v>0</v>
      </c>
      <c r="B15" s="56">
        <f>C15/B3</f>
        <v>72473982.182998925</v>
      </c>
      <c r="C15" s="30">
        <f>D15*1000000</f>
        <v>870485000</v>
      </c>
      <c r="D15" s="30">
        <f>$B$12*Y16</f>
        <v>870.48500000000001</v>
      </c>
      <c r="E15" s="30">
        <f>D15*1.10231131</f>
        <v>959.54546068535001</v>
      </c>
      <c r="F15" s="30">
        <f>D15*2204.62262</f>
        <v>1919090.9213707</v>
      </c>
      <c r="Q15" s="12" t="s">
        <v>28</v>
      </c>
      <c r="R15" s="16" t="s">
        <v>25</v>
      </c>
      <c r="U15" s="12" t="s">
        <v>28</v>
      </c>
      <c r="V15" s="16" t="s">
        <v>25</v>
      </c>
      <c r="X15" s="12" t="s">
        <v>28</v>
      </c>
      <c r="Y15" s="1" t="s">
        <v>25</v>
      </c>
      <c r="AA15" s="1" t="s">
        <v>28</v>
      </c>
      <c r="AB15" s="1" t="s">
        <v>25</v>
      </c>
      <c r="AC15" s="1"/>
      <c r="AD15" s="1" t="s">
        <v>28</v>
      </c>
      <c r="AE15" s="1" t="s">
        <v>25</v>
      </c>
      <c r="AG15" s="1" t="s">
        <v>28</v>
      </c>
      <c r="AH15" s="1" t="s">
        <v>25</v>
      </c>
    </row>
    <row r="16" spans="1:34">
      <c r="A16" s="1" t="s">
        <v>2</v>
      </c>
      <c r="B16" s="46">
        <f>C16/B4</f>
        <v>41472368.290505014</v>
      </c>
      <c r="C16" s="30">
        <f t="shared" ref="C16:C19" si="2">D16*1000000</f>
        <v>41800000.000000007</v>
      </c>
      <c r="D16" s="30">
        <f>$B$12*Y17</f>
        <v>41.800000000000004</v>
      </c>
      <c r="E16" s="30">
        <f t="shared" ref="E16:E20" si="3">D16*1.10231131</f>
        <v>46.076612758000003</v>
      </c>
      <c r="F16" s="30">
        <f t="shared" ref="F16:F20" si="4">D16*2204.62262</f>
        <v>92153.22551600002</v>
      </c>
      <c r="H16" s="30"/>
      <c r="P16" s="16" t="s">
        <v>0</v>
      </c>
      <c r="Q16" s="31">
        <v>0.15473916238060251</v>
      </c>
      <c r="R16" s="31">
        <v>0.34874513312436944</v>
      </c>
      <c r="T16" s="1" t="s">
        <v>0</v>
      </c>
      <c r="U16" s="31">
        <v>0.31447667942073915</v>
      </c>
      <c r="V16" s="31">
        <v>0.36631948699778794</v>
      </c>
      <c r="X16" s="31">
        <v>0.60179836601989978</v>
      </c>
      <c r="Y16" s="31">
        <v>0.83299999999999996</v>
      </c>
      <c r="AA16" s="31">
        <v>0</v>
      </c>
      <c r="AB16" s="31">
        <v>0</v>
      </c>
      <c r="AC16" s="31"/>
      <c r="AD16" s="31">
        <v>0</v>
      </c>
      <c r="AE16" s="31">
        <v>0</v>
      </c>
      <c r="AG16">
        <f>I70/$I$75</f>
        <v>0.21234340134542209</v>
      </c>
      <c r="AH16">
        <f>K70/$K$75</f>
        <v>0.28816973570259913</v>
      </c>
    </row>
    <row r="17" spans="1:34">
      <c r="A17" s="1" t="s">
        <v>3</v>
      </c>
      <c r="B17" s="46">
        <f t="shared" ref="B17:B19" si="5">C17/B5</f>
        <v>2900056.2535158447</v>
      </c>
      <c r="C17" s="30">
        <f t="shared" si="2"/>
        <v>46398000</v>
      </c>
      <c r="D17" s="30">
        <f t="shared" ref="D17:D19" si="6">$B$12*Y18</f>
        <v>46.398000000000003</v>
      </c>
      <c r="E17" s="30">
        <f t="shared" si="3"/>
        <v>51.145040161380003</v>
      </c>
      <c r="F17" s="30">
        <f t="shared" si="4"/>
        <v>102290.08032276001</v>
      </c>
      <c r="P17" s="16" t="s">
        <v>2</v>
      </c>
      <c r="Q17" s="31">
        <v>0.66999755082047507</v>
      </c>
      <c r="R17" s="31">
        <v>0.12671248476827651</v>
      </c>
      <c r="T17" s="1" t="s">
        <v>2</v>
      </c>
      <c r="U17" s="31">
        <v>0.29360197607400584</v>
      </c>
      <c r="V17" s="31">
        <v>2.8699136489598025E-2</v>
      </c>
      <c r="X17" s="31">
        <v>0.34437190727538242</v>
      </c>
      <c r="Y17" s="31">
        <v>0.04</v>
      </c>
      <c r="AA17" s="31">
        <v>0</v>
      </c>
      <c r="AB17" s="31">
        <v>0</v>
      </c>
      <c r="AC17" s="31"/>
      <c r="AD17" s="31">
        <v>0.66666666666666663</v>
      </c>
      <c r="AE17" s="31">
        <v>0.11189688478362234</v>
      </c>
      <c r="AG17">
        <f t="shared" ref="AG17:AG20" si="7">I71/$I$75</f>
        <v>0.4160336325065484</v>
      </c>
      <c r="AH17">
        <f t="shared" ref="AH17:AH20" si="8">K71/$K$75</f>
        <v>4.7377955701388884E-2</v>
      </c>
    </row>
    <row r="18" spans="1:34">
      <c r="A18" s="1" t="s">
        <v>4</v>
      </c>
      <c r="B18" s="46">
        <f t="shared" si="5"/>
        <v>1581637.7525522953</v>
      </c>
      <c r="C18" s="30">
        <f t="shared" si="2"/>
        <v>22154000</v>
      </c>
      <c r="D18" s="30">
        <f t="shared" si="6"/>
        <v>22.154</v>
      </c>
      <c r="E18" s="30">
        <f t="shared" si="3"/>
        <v>24.420604761739998</v>
      </c>
      <c r="F18" s="30">
        <f t="shared" si="4"/>
        <v>48841.20952348</v>
      </c>
      <c r="P18" s="16" t="s">
        <v>3</v>
      </c>
      <c r="Q18" s="31">
        <v>0.17095273083517024</v>
      </c>
      <c r="R18" s="31">
        <v>0.5132129755055489</v>
      </c>
      <c r="T18" s="1" t="s">
        <v>3</v>
      </c>
      <c r="U18" s="31">
        <v>0.34014626822298644</v>
      </c>
      <c r="V18" s="31">
        <v>0.52777760656625683</v>
      </c>
      <c r="X18" s="31">
        <v>2.4081043460877073E-2</v>
      </c>
      <c r="Y18" s="31">
        <v>4.4400000000000002E-2</v>
      </c>
      <c r="AA18" s="31">
        <v>0.94329250138233178</v>
      </c>
      <c r="AB18" s="31">
        <v>0.95</v>
      </c>
      <c r="AC18" s="31"/>
      <c r="AD18" s="31">
        <v>0.33333333333333331</v>
      </c>
      <c r="AE18" s="31">
        <v>0.88810311521637764</v>
      </c>
      <c r="AG18">
        <f t="shared" si="7"/>
        <v>0.33907436236726796</v>
      </c>
      <c r="AH18">
        <f t="shared" si="8"/>
        <v>0.61294036650867889</v>
      </c>
    </row>
    <row r="19" spans="1:34">
      <c r="A19" s="1" t="s">
        <v>5</v>
      </c>
      <c r="B19" s="46">
        <f t="shared" si="5"/>
        <v>2000966.7560656145</v>
      </c>
      <c r="C19" s="30">
        <f t="shared" si="2"/>
        <v>64163000</v>
      </c>
      <c r="D19" s="30">
        <f t="shared" si="6"/>
        <v>64.162999999999997</v>
      </c>
      <c r="E19" s="30">
        <f t="shared" si="3"/>
        <v>70.727600583529991</v>
      </c>
      <c r="F19" s="30">
        <f t="shared" si="4"/>
        <v>141455.20116706</v>
      </c>
      <c r="P19" s="16" t="s">
        <v>4</v>
      </c>
      <c r="Q19" s="31">
        <v>4.310555963752143E-3</v>
      </c>
      <c r="R19" s="31">
        <v>1.1329406601804939E-2</v>
      </c>
      <c r="T19" s="1" t="s">
        <v>4</v>
      </c>
      <c r="U19" s="31">
        <v>4.7851988182302511E-2</v>
      </c>
      <c r="V19" s="31">
        <v>6.5003617438743652E-2</v>
      </c>
      <c r="X19" s="31">
        <v>1.3133361607176033E-2</v>
      </c>
      <c r="Y19" s="31">
        <v>2.12E-2</v>
      </c>
      <c r="AA19" s="31">
        <v>5.6707498617668273E-2</v>
      </c>
      <c r="AB19" s="31">
        <v>4.999999999999994E-2</v>
      </c>
      <c r="AC19" s="31"/>
      <c r="AD19" s="31">
        <v>0</v>
      </c>
      <c r="AE19" s="31">
        <v>0</v>
      </c>
      <c r="AG19">
        <f t="shared" si="7"/>
        <v>3.254860378076161E-2</v>
      </c>
      <c r="AH19">
        <f t="shared" si="8"/>
        <v>5.1511942087333104E-2</v>
      </c>
    </row>
    <row r="20" spans="1:34">
      <c r="A20" s="1" t="s">
        <v>14</v>
      </c>
      <c r="B20" s="30">
        <f>SUM(B15:B19)</f>
        <v>120429011.23563769</v>
      </c>
      <c r="C20" s="30">
        <f t="shared" ref="C20:D20" si="9">SUM(C15:C19)</f>
        <v>1045000000</v>
      </c>
      <c r="D20" s="30">
        <f t="shared" si="9"/>
        <v>1045</v>
      </c>
      <c r="E20" s="30">
        <f t="shared" si="3"/>
        <v>1151.91531895</v>
      </c>
      <c r="F20" s="30">
        <f t="shared" si="4"/>
        <v>2303830.6379</v>
      </c>
      <c r="P20" s="16" t="s">
        <v>5</v>
      </c>
      <c r="Q20" s="31">
        <v>0</v>
      </c>
      <c r="R20" s="31">
        <v>0</v>
      </c>
      <c r="T20" s="1" t="s">
        <v>5</v>
      </c>
      <c r="U20" s="31">
        <v>3.9230880999660961E-3</v>
      </c>
      <c r="V20" s="31">
        <v>1.2200152507613393E-2</v>
      </c>
      <c r="X20" s="31">
        <v>1.6615321636664591E-2</v>
      </c>
      <c r="Y20" s="31">
        <v>6.1399999999999996E-2</v>
      </c>
      <c r="AA20" s="31">
        <v>0</v>
      </c>
      <c r="AB20" s="31">
        <v>0</v>
      </c>
      <c r="AC20" s="31"/>
      <c r="AD20" s="31">
        <v>0</v>
      </c>
      <c r="AE20" s="31">
        <v>0</v>
      </c>
      <c r="AG20">
        <f t="shared" si="7"/>
        <v>0</v>
      </c>
      <c r="AH20">
        <f t="shared" si="8"/>
        <v>0</v>
      </c>
    </row>
    <row r="21" spans="1:34">
      <c r="P21" s="17" t="s">
        <v>14</v>
      </c>
      <c r="Q21" s="31">
        <v>1</v>
      </c>
      <c r="R21" s="31">
        <v>1</v>
      </c>
      <c r="S21" s="31"/>
      <c r="T21" s="58" t="s">
        <v>14</v>
      </c>
      <c r="U21" s="31">
        <v>1</v>
      </c>
      <c r="V21" s="31">
        <v>1.0000000000000002</v>
      </c>
      <c r="W21" s="31"/>
      <c r="X21" s="31">
        <v>0.99999999999999978</v>
      </c>
      <c r="Y21" s="31">
        <v>1</v>
      </c>
      <c r="Z21" s="31"/>
      <c r="AA21" s="31">
        <v>1</v>
      </c>
      <c r="AB21" s="31">
        <v>0.99999999999999989</v>
      </c>
      <c r="AC21" s="31"/>
      <c r="AD21" s="31"/>
      <c r="AE21" s="31"/>
      <c r="AG21">
        <f>SUM(AG16:AG20)</f>
        <v>1</v>
      </c>
      <c r="AH21">
        <f>SUM(AH16:AH20)</f>
        <v>1</v>
      </c>
    </row>
    <row r="22" spans="1:34">
      <c r="A22" s="78" t="s">
        <v>113</v>
      </c>
    </row>
    <row r="23" spans="1:34" ht="47.25">
      <c r="A23" s="55" t="s">
        <v>40</v>
      </c>
      <c r="B23" s="3" t="s">
        <v>57</v>
      </c>
      <c r="C23" s="3" t="s">
        <v>20</v>
      </c>
      <c r="D23" s="3" t="s">
        <v>12</v>
      </c>
      <c r="E23" s="3" t="s">
        <v>19</v>
      </c>
      <c r="F23" s="3" t="s">
        <v>21</v>
      </c>
      <c r="H23" s="55" t="s">
        <v>60</v>
      </c>
      <c r="I23" s="3" t="s">
        <v>57</v>
      </c>
      <c r="J23" s="3" t="s">
        <v>20</v>
      </c>
      <c r="K23" s="3" t="s">
        <v>12</v>
      </c>
      <c r="L23" s="3" t="s">
        <v>19</v>
      </c>
      <c r="M23" s="3" t="s">
        <v>21</v>
      </c>
    </row>
    <row r="24" spans="1:34">
      <c r="A24" s="1" t="s">
        <v>7</v>
      </c>
      <c r="B24" s="46">
        <f>C24/E3</f>
        <v>69906753.490239069</v>
      </c>
      <c r="C24" s="30">
        <f>$J$29*V4</f>
        <v>1958088165.2615962</v>
      </c>
      <c r="D24" s="30">
        <f>C24/1000000</f>
        <v>1958.0881652615963</v>
      </c>
      <c r="E24" s="30">
        <f>D24*1.10231131</f>
        <v>2158.4227305450067</v>
      </c>
      <c r="F24" s="30">
        <f>D24*2204.62262</f>
        <v>4316845.4610900134</v>
      </c>
      <c r="H24" s="1" t="s">
        <v>0</v>
      </c>
      <c r="I24" s="56">
        <f>B15</f>
        <v>72473982.182998925</v>
      </c>
      <c r="J24" s="30">
        <f>I24*B3</f>
        <v>870485000</v>
      </c>
      <c r="K24" s="30">
        <f>J24/1000000</f>
        <v>870.48500000000001</v>
      </c>
      <c r="L24" s="30">
        <f>K24*1.10231131</f>
        <v>959.54546068535001</v>
      </c>
      <c r="M24" s="30">
        <f>L24*2204.62262</f>
        <v>2115435.6275452436</v>
      </c>
    </row>
    <row r="25" spans="1:34">
      <c r="A25" s="1" t="s">
        <v>8</v>
      </c>
      <c r="B25" s="46">
        <f t="shared" ref="B25:B31" si="10">C25/E4</f>
        <v>2422124.4622995169</v>
      </c>
      <c r="C25" s="30">
        <f t="shared" ref="C25:C31" si="11">$J$29*V5</f>
        <v>106595275.46133944</v>
      </c>
      <c r="D25" s="30">
        <f t="shared" ref="D25:D31" si="12">C25/1000000</f>
        <v>106.59527546133944</v>
      </c>
      <c r="E25" s="30">
        <f t="shared" ref="E25:E31" si="13">D25*1.10231131</f>
        <v>117.50117773359993</v>
      </c>
      <c r="F25" s="30">
        <f t="shared" ref="F25:F31" si="14">D25*2204.62262</f>
        <v>235002.35546719987</v>
      </c>
      <c r="H25" s="1" t="s">
        <v>2</v>
      </c>
      <c r="I25" s="30">
        <f>$I$24*(U17/$U$16)</f>
        <v>67663218.850044549</v>
      </c>
      <c r="J25" s="30">
        <f t="shared" ref="J25:J28" si="15">I25*B4</f>
        <v>68197758.2789599</v>
      </c>
      <c r="K25" s="30">
        <f t="shared" ref="K25:K28" si="16">J25/1000000</f>
        <v>68.197758278959896</v>
      </c>
      <c r="L25" s="30">
        <f t="shared" ref="L25:L28" si="17">K25*1.10231131</f>
        <v>75.175160267543617</v>
      </c>
      <c r="M25" s="30">
        <f t="shared" ref="M25:M28" si="18">L25*2204.62262</f>
        <v>165732.85878795193</v>
      </c>
    </row>
    <row r="26" spans="1:34">
      <c r="A26" s="1" t="s">
        <v>9</v>
      </c>
      <c r="B26" s="46">
        <f t="shared" si="10"/>
        <v>100456.77493408133</v>
      </c>
      <c r="C26" s="30">
        <f t="shared" si="11"/>
        <v>1611587.8575574933</v>
      </c>
      <c r="D26" s="30">
        <f t="shared" si="12"/>
        <v>1.6115878575574933</v>
      </c>
      <c r="E26" s="30">
        <f t="shared" si="13"/>
        <v>1.7764715224442937</v>
      </c>
      <c r="F26" s="30">
        <f t="shared" si="14"/>
        <v>3552.9430448885878</v>
      </c>
      <c r="H26" s="1" t="s">
        <v>3</v>
      </c>
      <c r="I26" s="30">
        <f t="shared" ref="I26:I28" si="19">$I$24*(U18/$U$16)</f>
        <v>78389770.040228158</v>
      </c>
      <c r="J26" s="30">
        <f t="shared" si="15"/>
        <v>1254157930.8736103</v>
      </c>
      <c r="K26" s="30">
        <f t="shared" si="16"/>
        <v>1254.1579308736102</v>
      </c>
      <c r="L26" s="30">
        <f t="shared" si="17"/>
        <v>1382.4724717281786</v>
      </c>
      <c r="M26" s="30">
        <f t="shared" si="18"/>
        <v>3047830.0826992532</v>
      </c>
    </row>
    <row r="27" spans="1:34">
      <c r="A27" s="1" t="s">
        <v>10</v>
      </c>
      <c r="B27" s="46">
        <f t="shared" si="10"/>
        <v>29177112.18640985</v>
      </c>
      <c r="C27" s="30">
        <f t="shared" si="11"/>
        <v>58815222.745364979</v>
      </c>
      <c r="D27" s="30">
        <f t="shared" si="12"/>
        <v>58.815222745364977</v>
      </c>
      <c r="E27" s="30">
        <f t="shared" si="13"/>
        <v>64.83268523238506</v>
      </c>
      <c r="F27" s="30">
        <f t="shared" si="14"/>
        <v>129665.37046477014</v>
      </c>
      <c r="H27" s="1" t="s">
        <v>4</v>
      </c>
      <c r="I27" s="46">
        <f>$I$24*(U19/$U$16)</f>
        <v>11027921.514985818</v>
      </c>
      <c r="J27" s="30">
        <f t="shared" si="15"/>
        <v>154468096.66040635</v>
      </c>
      <c r="K27" s="30">
        <f t="shared" si="16"/>
        <v>154.46809666040636</v>
      </c>
      <c r="L27" s="30">
        <f t="shared" si="17"/>
        <v>170.27192998293916</v>
      </c>
      <c r="M27" s="30">
        <f t="shared" si="18"/>
        <v>375385.3483914439</v>
      </c>
    </row>
    <row r="28" spans="1:34">
      <c r="A28" s="1" t="s">
        <v>11</v>
      </c>
      <c r="B28" s="46">
        <f t="shared" si="10"/>
        <v>5513960.7574929101</v>
      </c>
      <c r="C28" s="30">
        <f t="shared" si="11"/>
        <v>154468096.66040638</v>
      </c>
      <c r="D28" s="30">
        <f t="shared" si="12"/>
        <v>154.46809666040639</v>
      </c>
      <c r="E28" s="30">
        <f t="shared" si="13"/>
        <v>170.27192998293918</v>
      </c>
      <c r="F28" s="30">
        <f t="shared" si="14"/>
        <v>340543.85996587842</v>
      </c>
      <c r="H28" s="1" t="s">
        <v>5</v>
      </c>
      <c r="I28" s="30">
        <f t="shared" si="19"/>
        <v>904110.97440673201</v>
      </c>
      <c r="J28" s="30">
        <f t="shared" si="15"/>
        <v>28991222.505326271</v>
      </c>
      <c r="K28" s="30">
        <f t="shared" si="16"/>
        <v>28.99122250532627</v>
      </c>
      <c r="L28" s="30">
        <f t="shared" si="17"/>
        <v>31.957352458347682</v>
      </c>
      <c r="M28" s="30">
        <f t="shared" si="18"/>
        <v>70453.902104985915</v>
      </c>
    </row>
    <row r="29" spans="1:34">
      <c r="A29" s="1" t="s">
        <v>22</v>
      </c>
      <c r="B29" s="46">
        <f t="shared" si="10"/>
        <v>3594120.1698637996</v>
      </c>
      <c r="C29" s="30">
        <f t="shared" si="11"/>
        <v>64747356.036062382</v>
      </c>
      <c r="D29" s="30">
        <f t="shared" si="12"/>
        <v>64.747356036062385</v>
      </c>
      <c r="E29" s="30">
        <f t="shared" si="13"/>
        <v>71.371742851148326</v>
      </c>
      <c r="F29" s="30">
        <f t="shared" si="14"/>
        <v>142743.48570229669</v>
      </c>
      <c r="H29" s="1" t="s">
        <v>14</v>
      </c>
      <c r="I29" s="30">
        <f>SUM(I24:I28)</f>
        <v>230459003.56266418</v>
      </c>
      <c r="J29" s="46">
        <f>SUM(J24:J28)</f>
        <v>2376300008.3183031</v>
      </c>
      <c r="K29" s="30">
        <f>SUM(K24:K28)</f>
        <v>2376.3000083183028</v>
      </c>
      <c r="L29" s="30">
        <f>SUM(L24:L28)</f>
        <v>2619.4223751223585</v>
      </c>
      <c r="M29" s="30">
        <f>SUM(M24:M28)</f>
        <v>5774837.8195288787</v>
      </c>
    </row>
    <row r="30" spans="1:34">
      <c r="A30" s="1" t="s">
        <v>23</v>
      </c>
      <c r="B30" s="46">
        <f t="shared" si="10"/>
        <v>859463.5188804738</v>
      </c>
      <c r="C30" s="30">
        <f t="shared" si="11"/>
        <v>29292063.757780533</v>
      </c>
      <c r="D30" s="30">
        <f t="shared" si="12"/>
        <v>29.292063757780532</v>
      </c>
      <c r="E30" s="30">
        <f t="shared" si="13"/>
        <v>32.288973173442578</v>
      </c>
      <c r="F30" s="30">
        <f t="shared" si="14"/>
        <v>64577.946346885168</v>
      </c>
    </row>
    <row r="31" spans="1:34">
      <c r="A31" s="1" t="s">
        <v>24</v>
      </c>
      <c r="B31" s="46">
        <f t="shared" si="10"/>
        <v>44647.455526258374</v>
      </c>
      <c r="C31" s="30">
        <f t="shared" si="11"/>
        <v>2682240.5381954983</v>
      </c>
      <c r="D31" s="30">
        <f t="shared" si="12"/>
        <v>2.6822405381954981</v>
      </c>
      <c r="E31" s="30">
        <f t="shared" si="13"/>
        <v>2.9566640813933844</v>
      </c>
      <c r="F31" s="30">
        <f t="shared" si="14"/>
        <v>5913.3281627867691</v>
      </c>
    </row>
    <row r="32" spans="1:34">
      <c r="A32" s="1" t="s">
        <v>14</v>
      </c>
      <c r="B32" s="30">
        <f>SUM(B24:B31)</f>
        <v>111618638.81564596</v>
      </c>
      <c r="C32" s="46">
        <f>SUM(C24:C31)</f>
        <v>2376300008.3183031</v>
      </c>
      <c r="D32" s="30">
        <f>SUM(D24:D31)</f>
        <v>2376.3000083183028</v>
      </c>
      <c r="E32" s="30">
        <f>SUM(E24:E31)</f>
        <v>2619.422375122359</v>
      </c>
      <c r="F32" s="30">
        <f>SUM(F24:F31)</f>
        <v>5238844.7502447199</v>
      </c>
    </row>
    <row r="34" spans="1:24" ht="47.25">
      <c r="A34" s="55" t="s">
        <v>62</v>
      </c>
      <c r="B34" s="3" t="s">
        <v>57</v>
      </c>
      <c r="C34" s="3" t="s">
        <v>20</v>
      </c>
      <c r="D34" s="3" t="s">
        <v>12</v>
      </c>
      <c r="E34" s="3" t="s">
        <v>19</v>
      </c>
      <c r="F34" s="3" t="s">
        <v>21</v>
      </c>
      <c r="H34" s="55" t="s">
        <v>63</v>
      </c>
      <c r="I34" s="3" t="s">
        <v>57</v>
      </c>
      <c r="J34" s="3" t="s">
        <v>20</v>
      </c>
      <c r="K34" s="3" t="s">
        <v>12</v>
      </c>
      <c r="L34" s="3" t="s">
        <v>19</v>
      </c>
      <c r="M34" s="3" t="s">
        <v>21</v>
      </c>
    </row>
    <row r="35" spans="1:24">
      <c r="A35" s="1" t="s">
        <v>22</v>
      </c>
      <c r="B35" s="30">
        <f>((2*B26)+B27+B29+B30)-(0.5*B16)</f>
        <v>13095425.279769775</v>
      </c>
      <c r="C35" s="30">
        <f>B35*E8</f>
        <v>235911467.32999656</v>
      </c>
      <c r="D35" s="30">
        <f>C35/1000000</f>
        <v>235.91146732999655</v>
      </c>
      <c r="E35" s="30">
        <f>D35*1.10231131</f>
        <v>260.04787859655067</v>
      </c>
      <c r="F35" s="30">
        <f>E35*2204.62262</f>
        <v>573307.43543696951</v>
      </c>
      <c r="H35" s="1" t="s">
        <v>2</v>
      </c>
      <c r="I35" s="30">
        <f>2*B35</f>
        <v>26190850.559539549</v>
      </c>
      <c r="J35" s="30">
        <f>I35*B4</f>
        <v>26397758.278959911</v>
      </c>
      <c r="K35" s="30">
        <f>J35/1000000</f>
        <v>26.397758278959913</v>
      </c>
      <c r="L35" s="30">
        <f>K35*1.10231131</f>
        <v>29.098547509543646</v>
      </c>
      <c r="M35" s="30">
        <f>L35*2204.62262</f>
        <v>64151.316048684588</v>
      </c>
    </row>
    <row r="36" spans="1:24">
      <c r="H36" s="1" t="s">
        <v>3</v>
      </c>
      <c r="I36" s="30">
        <f>B35</f>
        <v>13095425.279769775</v>
      </c>
      <c r="J36" s="30">
        <f>I36*B5</f>
        <v>209513709.05103663</v>
      </c>
      <c r="K36" s="30">
        <f>J36/1000000</f>
        <v>209.51370905103661</v>
      </c>
      <c r="L36" s="30">
        <f>K36*1.10231131</f>
        <v>230.94933108700701</v>
      </c>
      <c r="M36" s="30">
        <f>L36*2204.62262</f>
        <v>509156.11938828486</v>
      </c>
    </row>
    <row r="37" spans="1:24">
      <c r="H37" s="1" t="s">
        <v>14</v>
      </c>
      <c r="I37" s="30">
        <f>SUM(I35:I36)</f>
        <v>39286275.83930932</v>
      </c>
      <c r="J37" s="30">
        <f>SUM(J35:J36)</f>
        <v>235911467.32999653</v>
      </c>
      <c r="K37" s="30">
        <f>SUM(K35:K36)</f>
        <v>235.91146732999653</v>
      </c>
      <c r="L37" s="30">
        <f t="shared" ref="L37:M37" si="20">SUM(L35:L36)</f>
        <v>260.04787859655067</v>
      </c>
      <c r="M37" s="30">
        <f t="shared" si="20"/>
        <v>573307.43543696939</v>
      </c>
    </row>
    <row r="39" spans="1:24" ht="63">
      <c r="A39" s="55" t="s">
        <v>64</v>
      </c>
      <c r="B39" s="3" t="s">
        <v>15</v>
      </c>
      <c r="C39" s="3" t="s">
        <v>20</v>
      </c>
      <c r="D39" s="3" t="s">
        <v>12</v>
      </c>
      <c r="E39" s="3" t="s">
        <v>19</v>
      </c>
      <c r="F39" s="3" t="s">
        <v>21</v>
      </c>
      <c r="H39" s="55" t="s">
        <v>65</v>
      </c>
      <c r="I39" s="3" t="s">
        <v>15</v>
      </c>
      <c r="J39" s="3" t="s">
        <v>20</v>
      </c>
      <c r="K39" s="3" t="s">
        <v>12</v>
      </c>
      <c r="L39" s="3" t="s">
        <v>19</v>
      </c>
      <c r="M39" s="3" t="s">
        <v>21</v>
      </c>
    </row>
    <row r="40" spans="1:24">
      <c r="A40" s="1" t="s">
        <v>61</v>
      </c>
      <c r="B40" s="30">
        <f>((0.5*B24)+B25+(0.5*B29)+(0.5*B31))-(0.5*B35)-(0.5*B17)</f>
        <v>31197144.253471274</v>
      </c>
      <c r="C40" s="30">
        <f>B40*(2*B5)</f>
        <v>998246221.8225739</v>
      </c>
      <c r="D40" s="30">
        <f>C40/1000000</f>
        <v>998.24622182257394</v>
      </c>
      <c r="E40" s="30">
        <f>D40*1.10231131</f>
        <v>1100.378100479792</v>
      </c>
      <c r="F40" s="30">
        <f>E40*2204.62262</f>
        <v>2425918.4508703826</v>
      </c>
      <c r="H40" s="1" t="s">
        <v>3</v>
      </c>
      <c r="I40" s="30">
        <f>2*B40</f>
        <v>62394288.506942548</v>
      </c>
      <c r="J40" s="30">
        <f>I40*B5</f>
        <v>998246221.8225739</v>
      </c>
      <c r="K40" s="30">
        <f>J40/1000000</f>
        <v>998.24622182257394</v>
      </c>
      <c r="L40" s="30">
        <f>K40*1.10231131</f>
        <v>1100.378100479792</v>
      </c>
      <c r="M40" s="30">
        <f>L40*2204.62262</f>
        <v>2425918.4508703826</v>
      </c>
    </row>
    <row r="41" spans="1:24">
      <c r="A41" s="1" t="s">
        <v>11</v>
      </c>
      <c r="B41" s="30">
        <f>B40*(Y5/Y4)</f>
        <v>1875464.9401287567</v>
      </c>
      <c r="C41" s="30">
        <f>B41*E7</f>
        <v>52539274.832766987</v>
      </c>
      <c r="D41" s="30">
        <f>C41/1000000</f>
        <v>52.539274832766985</v>
      </c>
      <c r="E41" s="30">
        <f>D41*1.10231131</f>
        <v>57.914636867357402</v>
      </c>
      <c r="F41" s="30">
        <f>E41*2204.62262</f>
        <v>127679.91846686207</v>
      </c>
      <c r="H41" s="1" t="s">
        <v>4</v>
      </c>
      <c r="I41" s="30">
        <f>2*B41</f>
        <v>3750929.8802575134</v>
      </c>
      <c r="J41" s="30">
        <f>I41*B6</f>
        <v>52539274.832766987</v>
      </c>
      <c r="K41" s="30">
        <f>J41/1000000</f>
        <v>52.539274832766985</v>
      </c>
      <c r="L41" s="30">
        <f>K41*1.10231131</f>
        <v>57.914636867357402</v>
      </c>
      <c r="M41" s="30">
        <f>L41*2204.62262</f>
        <v>127679.91846686207</v>
      </c>
    </row>
    <row r="42" spans="1:24">
      <c r="A42" s="1" t="s">
        <v>53</v>
      </c>
      <c r="B42" s="30">
        <f>SUM(B40:B41)</f>
        <v>33072609.193600029</v>
      </c>
      <c r="C42" s="30">
        <f t="shared" ref="C42:F42" si="21">SUM(C40:C41)</f>
        <v>1050785496.6553409</v>
      </c>
      <c r="D42" s="30">
        <f t="shared" si="21"/>
        <v>1050.7854966553409</v>
      </c>
      <c r="E42" s="30">
        <f t="shared" si="21"/>
        <v>1158.2927373471493</v>
      </c>
      <c r="F42" s="30">
        <f t="shared" si="21"/>
        <v>2553598.3693372449</v>
      </c>
      <c r="H42" s="1" t="s">
        <v>14</v>
      </c>
      <c r="I42" s="30">
        <f>SUM(I40:I41)</f>
        <v>66145218.387200058</v>
      </c>
      <c r="J42" s="30">
        <f>SUM(J40:J41)</f>
        <v>1050785496.6553409</v>
      </c>
      <c r="K42" s="30">
        <f>SUM(K40:K41)</f>
        <v>1050.7854966553409</v>
      </c>
      <c r="L42" s="30">
        <f>SUM(L40:L41)</f>
        <v>1158.2927373471493</v>
      </c>
      <c r="M42" s="30">
        <f>SUM(M40:M41)</f>
        <v>2553598.3693372449</v>
      </c>
    </row>
    <row r="44" spans="1:24" ht="63">
      <c r="A44" s="59" t="s">
        <v>93</v>
      </c>
      <c r="B44" s="3" t="s">
        <v>15</v>
      </c>
      <c r="C44" s="3" t="s">
        <v>20</v>
      </c>
      <c r="D44" s="3" t="s">
        <v>12</v>
      </c>
      <c r="E44" s="3" t="s">
        <v>19</v>
      </c>
      <c r="F44" s="3" t="s">
        <v>21</v>
      </c>
      <c r="H44" s="55" t="s">
        <v>96</v>
      </c>
      <c r="I44" s="3" t="s">
        <v>15</v>
      </c>
      <c r="J44" s="3" t="s">
        <v>20</v>
      </c>
      <c r="K44" s="3" t="s">
        <v>12</v>
      </c>
      <c r="L44" s="3" t="s">
        <v>19</v>
      </c>
      <c r="M44" s="3" t="s">
        <v>21</v>
      </c>
      <c r="P44" s="73" t="s">
        <v>125</v>
      </c>
      <c r="Q44" s="64" t="s">
        <v>15</v>
      </c>
      <c r="R44" s="64" t="s">
        <v>20</v>
      </c>
      <c r="S44" s="64" t="s">
        <v>12</v>
      </c>
      <c r="T44" s="64" t="s">
        <v>19</v>
      </c>
      <c r="U44" s="64" t="s">
        <v>21</v>
      </c>
      <c r="V44" s="26"/>
      <c r="W44" s="26"/>
      <c r="X44" s="19"/>
    </row>
    <row r="45" spans="1:24">
      <c r="A45" s="1" t="s">
        <v>7</v>
      </c>
      <c r="B45" s="30">
        <f>B24</f>
        <v>69906753.490239069</v>
      </c>
      <c r="C45" s="30">
        <f>B45*E3</f>
        <v>1958088165.2615962</v>
      </c>
      <c r="D45" s="30">
        <f>C45/1000000</f>
        <v>1958.0881652615963</v>
      </c>
      <c r="E45" s="30">
        <f>D45*1.10231131</f>
        <v>2158.4227305450067</v>
      </c>
      <c r="F45" s="30">
        <f>D45*2204.62262</f>
        <v>4316845.4610900134</v>
      </c>
      <c r="H45" s="1" t="s">
        <v>0</v>
      </c>
      <c r="I45" s="56">
        <f>B45+B46+B47+B52</f>
        <v>71944909.835012764</v>
      </c>
      <c r="J45" s="30">
        <f>I45*B3</f>
        <v>864130312.02833819</v>
      </c>
      <c r="K45" s="30">
        <f>J45/1000000</f>
        <v>864.13031202833815</v>
      </c>
      <c r="L45" s="30">
        <f>K45*1.10231131</f>
        <v>952.54061626266616</v>
      </c>
      <c r="M45" s="30">
        <f>K45*2204.62262</f>
        <v>1905081.2325253324</v>
      </c>
      <c r="P45" s="65" t="s">
        <v>7</v>
      </c>
      <c r="Q45" s="66">
        <f>(1-$C$68)*B45</f>
        <v>28805776.84318791</v>
      </c>
      <c r="R45" s="66">
        <f>Q45*E3</f>
        <v>806849809.3776933</v>
      </c>
      <c r="S45" s="66">
        <f>R45/1000000</f>
        <v>806.8498093776933</v>
      </c>
      <c r="T45" s="66">
        <f>S45*1.10231131</f>
        <v>889.39967034837537</v>
      </c>
      <c r="U45" s="67">
        <f>T45*2204.62262</f>
        <v>1960790.6314705717</v>
      </c>
      <c r="V45" s="68"/>
      <c r="W45" s="4"/>
      <c r="X45" s="13"/>
    </row>
    <row r="46" spans="1:24">
      <c r="A46" s="1" t="s">
        <v>72</v>
      </c>
      <c r="B46" s="30">
        <f>0.8*B25</f>
        <v>1937699.5698396135</v>
      </c>
      <c r="C46" s="30">
        <f t="shared" ref="C46:C52" si="22">B46*E4</f>
        <v>85276220.369071558</v>
      </c>
      <c r="D46" s="30">
        <f t="shared" ref="D46:D52" si="23">C46/1000000</f>
        <v>85.276220369071552</v>
      </c>
      <c r="E46" s="30">
        <f t="shared" ref="E46:E52" si="24">D46*1.10231131</f>
        <v>94.000942186879939</v>
      </c>
      <c r="F46" s="30">
        <f t="shared" ref="F46:F52" si="25">D46*2204.62262</f>
        <v>188001.88437375991</v>
      </c>
      <c r="H46" s="1" t="s">
        <v>2</v>
      </c>
      <c r="I46" s="30">
        <f>(4*B47)+(2*B48)+(2*B50)+(2*B51)</f>
        <v>58756051.472556025</v>
      </c>
      <c r="J46" s="30">
        <f t="shared" ref="J46:J49" si="26">I46*B4</f>
        <v>59220224.279189222</v>
      </c>
      <c r="K46" s="30">
        <f t="shared" ref="K46:K49" si="27">J46/1000000</f>
        <v>59.220224279189225</v>
      </c>
      <c r="L46" s="30">
        <f t="shared" ref="L46:L49" si="28">K46*1.10231131</f>
        <v>65.279123003686877</v>
      </c>
      <c r="M46" s="30">
        <f t="shared" ref="M46:M49" si="29">K46*2204.62262</f>
        <v>130558.24600737376</v>
      </c>
      <c r="P46" s="65" t="s">
        <v>8</v>
      </c>
      <c r="Q46" s="66">
        <f t="shared" ref="Q46:Q52" si="30">(1-$C$68)*B46</f>
        <v>798448.48474811111</v>
      </c>
      <c r="R46" s="66">
        <f t="shared" ref="R46:R52" si="31">Q46*E4</f>
        <v>35138919.365279622</v>
      </c>
      <c r="S46" s="66">
        <f t="shared" ref="S46:S52" si="32">R46/1000000</f>
        <v>35.138919365279619</v>
      </c>
      <c r="T46" s="66">
        <f t="shared" ref="T46:T52" si="33">S46*1.10231131</f>
        <v>38.734028237525742</v>
      </c>
      <c r="U46" s="67">
        <f t="shared" ref="U46:U52" si="34">T46*2204.62262</f>
        <v>85393.914816167991</v>
      </c>
      <c r="V46" s="37"/>
      <c r="W46" s="4"/>
      <c r="X46" s="13"/>
    </row>
    <row r="47" spans="1:24">
      <c r="A47" s="1" t="s">
        <v>9</v>
      </c>
      <c r="B47" s="30">
        <f>B26</f>
        <v>100456.77493408133</v>
      </c>
      <c r="C47" s="30">
        <f t="shared" si="22"/>
        <v>1611587.8575574933</v>
      </c>
      <c r="D47" s="30">
        <f t="shared" si="23"/>
        <v>1.6115878575574933</v>
      </c>
      <c r="E47" s="30">
        <f t="shared" si="24"/>
        <v>1.7764715224442937</v>
      </c>
      <c r="F47" s="30">
        <f t="shared" si="25"/>
        <v>3552.9430448885878</v>
      </c>
      <c r="H47" s="1" t="s">
        <v>3</v>
      </c>
      <c r="I47" s="30">
        <f>B45+(2*B46)+(B50)+(B52)</f>
        <v>73782152.629918292</v>
      </c>
      <c r="J47" s="30">
        <f t="shared" si="26"/>
        <v>1180440659.9260628</v>
      </c>
      <c r="K47" s="30">
        <f t="shared" si="27"/>
        <v>1180.4406599260628</v>
      </c>
      <c r="L47" s="30">
        <f t="shared" si="28"/>
        <v>1301.2130902203628</v>
      </c>
      <c r="M47" s="30">
        <f t="shared" si="29"/>
        <v>2602426.1804407258</v>
      </c>
      <c r="P47" s="65" t="s">
        <v>9</v>
      </c>
      <c r="Q47" s="66">
        <f t="shared" si="30"/>
        <v>41394.218679337551</v>
      </c>
      <c r="R47" s="66">
        <f t="shared" si="31"/>
        <v>664070.89258514065</v>
      </c>
      <c r="S47" s="66">
        <f t="shared" si="32"/>
        <v>0.66407089258514063</v>
      </c>
      <c r="T47" s="66">
        <f t="shared" si="33"/>
        <v>0.73201285553839557</v>
      </c>
      <c r="U47" s="67">
        <f t="shared" si="34"/>
        <v>1613.8120994507392</v>
      </c>
      <c r="V47" s="37"/>
      <c r="W47" s="4"/>
      <c r="X47" s="13"/>
    </row>
    <row r="48" spans="1:24">
      <c r="A48" s="1" t="s">
        <v>10</v>
      </c>
      <c r="B48" s="30">
        <f>B27</f>
        <v>29177112.18640985</v>
      </c>
      <c r="C48" s="30">
        <f t="shared" si="22"/>
        <v>58815222.745364979</v>
      </c>
      <c r="D48" s="30">
        <f t="shared" si="23"/>
        <v>58.815222745364977</v>
      </c>
      <c r="E48" s="30">
        <f t="shared" si="24"/>
        <v>64.83268523238506</v>
      </c>
      <c r="F48" s="30">
        <f t="shared" si="25"/>
        <v>129665.37046477014</v>
      </c>
      <c r="H48" s="1" t="s">
        <v>4</v>
      </c>
      <c r="I48" s="30">
        <f>2*B49</f>
        <v>11027921.51498582</v>
      </c>
      <c r="J48" s="30">
        <f t="shared" si="26"/>
        <v>154468096.66040638</v>
      </c>
      <c r="K48" s="30">
        <f t="shared" si="27"/>
        <v>154.46809666040639</v>
      </c>
      <c r="L48" s="30">
        <f t="shared" si="28"/>
        <v>170.27192998293918</v>
      </c>
      <c r="M48" s="30">
        <f t="shared" si="29"/>
        <v>340543.85996587842</v>
      </c>
      <c r="P48" s="65" t="s">
        <v>10</v>
      </c>
      <c r="Q48" s="66">
        <f t="shared" si="30"/>
        <v>12022720.847532041</v>
      </c>
      <c r="R48" s="66">
        <f t="shared" si="31"/>
        <v>24235400.684455089</v>
      </c>
      <c r="S48" s="66">
        <f t="shared" si="32"/>
        <v>24.23540068445509</v>
      </c>
      <c r="T48" s="66">
        <f t="shared" si="33"/>
        <v>26.714956276856586</v>
      </c>
      <c r="U48" s="67">
        <f t="shared" si="34"/>
        <v>58896.396900269014</v>
      </c>
      <c r="V48" s="37"/>
      <c r="W48" s="4"/>
      <c r="X48" s="13"/>
    </row>
    <row r="49" spans="1:24">
      <c r="A49" s="1" t="s">
        <v>11</v>
      </c>
      <c r="B49" s="30">
        <f>B28</f>
        <v>5513960.7574929101</v>
      </c>
      <c r="C49" s="30">
        <f t="shared" si="22"/>
        <v>154468096.66040638</v>
      </c>
      <c r="D49" s="30">
        <f t="shared" si="23"/>
        <v>154.46809666040639</v>
      </c>
      <c r="E49" s="30">
        <f t="shared" si="24"/>
        <v>170.27192998293918</v>
      </c>
      <c r="F49" s="30">
        <f t="shared" si="25"/>
        <v>340543.85996587842</v>
      </c>
      <c r="H49" s="1" t="s">
        <v>5</v>
      </c>
      <c r="I49" s="30">
        <f>B51+B52</f>
        <v>0</v>
      </c>
      <c r="J49" s="30">
        <f t="shared" si="26"/>
        <v>0</v>
      </c>
      <c r="K49" s="30">
        <f t="shared" si="27"/>
        <v>0</v>
      </c>
      <c r="L49" s="30">
        <f t="shared" si="28"/>
        <v>0</v>
      </c>
      <c r="M49" s="30">
        <f t="shared" si="29"/>
        <v>0</v>
      </c>
      <c r="P49" s="65" t="s">
        <v>11</v>
      </c>
      <c r="Q49" s="66">
        <f t="shared" si="30"/>
        <v>2272082.6697325283</v>
      </c>
      <c r="R49" s="66">
        <f t="shared" si="31"/>
        <v>63650123.909887046</v>
      </c>
      <c r="S49" s="66">
        <f t="shared" si="32"/>
        <v>63.650123909887043</v>
      </c>
      <c r="T49" s="66">
        <f t="shared" si="33"/>
        <v>70.162251468769909</v>
      </c>
      <c r="U49" s="67">
        <f t="shared" si="34"/>
        <v>154681.28665817837</v>
      </c>
      <c r="V49" s="37"/>
      <c r="W49" s="4"/>
      <c r="X49" s="13"/>
    </row>
    <row r="50" spans="1:24">
      <c r="A50" s="1" t="s">
        <v>22</v>
      </c>
      <c r="B50" s="30">
        <v>0</v>
      </c>
      <c r="C50" s="30">
        <f t="shared" si="22"/>
        <v>0</v>
      </c>
      <c r="D50" s="30">
        <f t="shared" si="23"/>
        <v>0</v>
      </c>
      <c r="E50" s="30">
        <f t="shared" si="24"/>
        <v>0</v>
      </c>
      <c r="F50" s="30">
        <f t="shared" si="25"/>
        <v>0</v>
      </c>
      <c r="H50" s="1" t="s">
        <v>14</v>
      </c>
      <c r="I50" s="30">
        <f>SUM(I45:I49)</f>
        <v>215511035.4524729</v>
      </c>
      <c r="J50" s="30">
        <f>SUM(J45:J49)</f>
        <v>2258259292.8939967</v>
      </c>
      <c r="K50" s="30">
        <f>SUM(K45:K49)</f>
        <v>2258.2592928939966</v>
      </c>
      <c r="L50" s="30">
        <f>SUM(L45:L49)</f>
        <v>2489.304759469655</v>
      </c>
      <c r="M50" s="30">
        <f>SUM(M45:M49)</f>
        <v>4978609.5189393107</v>
      </c>
      <c r="P50" s="65" t="s">
        <v>22</v>
      </c>
      <c r="Q50" s="66">
        <f t="shared" si="30"/>
        <v>0</v>
      </c>
      <c r="R50" s="66">
        <f t="shared" si="31"/>
        <v>0</v>
      </c>
      <c r="S50" s="66">
        <f t="shared" si="32"/>
        <v>0</v>
      </c>
      <c r="T50" s="66">
        <f t="shared" si="33"/>
        <v>0</v>
      </c>
      <c r="U50" s="67">
        <f t="shared" si="34"/>
        <v>0</v>
      </c>
      <c r="V50" s="37"/>
      <c r="W50" s="4"/>
      <c r="X50" s="13"/>
    </row>
    <row r="51" spans="1:24">
      <c r="A51" s="1" t="s">
        <v>23</v>
      </c>
      <c r="B51" s="30">
        <v>0</v>
      </c>
      <c r="C51" s="30">
        <f t="shared" si="22"/>
        <v>0</v>
      </c>
      <c r="D51" s="30">
        <f t="shared" si="23"/>
        <v>0</v>
      </c>
      <c r="E51" s="30">
        <f t="shared" si="24"/>
        <v>0</v>
      </c>
      <c r="F51" s="30">
        <f t="shared" si="25"/>
        <v>0</v>
      </c>
      <c r="H51" s="1"/>
      <c r="I51" s="30"/>
      <c r="J51" s="30"/>
      <c r="K51" s="30"/>
      <c r="L51" s="30"/>
      <c r="M51" s="30"/>
      <c r="P51" s="65" t="s">
        <v>23</v>
      </c>
      <c r="Q51" s="66">
        <f t="shared" si="30"/>
        <v>0</v>
      </c>
      <c r="R51" s="66">
        <f t="shared" si="31"/>
        <v>0</v>
      </c>
      <c r="S51" s="66">
        <f t="shared" si="32"/>
        <v>0</v>
      </c>
      <c r="T51" s="66">
        <f t="shared" si="33"/>
        <v>0</v>
      </c>
      <c r="U51" s="67">
        <f t="shared" si="34"/>
        <v>0</v>
      </c>
      <c r="V51" s="4"/>
      <c r="W51" s="4"/>
      <c r="X51" s="13"/>
    </row>
    <row r="52" spans="1:24">
      <c r="A52" s="1" t="s">
        <v>24</v>
      </c>
      <c r="B52" s="30">
        <v>0</v>
      </c>
      <c r="C52" s="30">
        <f t="shared" si="22"/>
        <v>0</v>
      </c>
      <c r="D52" s="30">
        <f t="shared" si="23"/>
        <v>0</v>
      </c>
      <c r="E52" s="30">
        <f t="shared" si="24"/>
        <v>0</v>
      </c>
      <c r="F52" s="30">
        <f t="shared" si="25"/>
        <v>0</v>
      </c>
      <c r="H52" s="1"/>
      <c r="P52" s="65" t="s">
        <v>24</v>
      </c>
      <c r="Q52" s="66">
        <f t="shared" si="30"/>
        <v>0</v>
      </c>
      <c r="R52" s="66">
        <f t="shared" si="31"/>
        <v>0</v>
      </c>
      <c r="S52" s="66">
        <f t="shared" si="32"/>
        <v>0</v>
      </c>
      <c r="T52" s="66">
        <f t="shared" si="33"/>
        <v>0</v>
      </c>
      <c r="U52" s="67">
        <f t="shared" si="34"/>
        <v>0</v>
      </c>
      <c r="V52" s="4"/>
      <c r="W52" s="4"/>
      <c r="X52" s="13"/>
    </row>
    <row r="53" spans="1:24">
      <c r="A53" s="1" t="s">
        <v>14</v>
      </c>
      <c r="B53" s="30">
        <f>SUM(B45:B52)</f>
        <v>106635982.77891552</v>
      </c>
      <c r="C53" s="30">
        <f>SUM(C45:C52)</f>
        <v>2258259292.8939967</v>
      </c>
      <c r="D53" s="30">
        <f>SUM(D45:D52)</f>
        <v>2258.2592928939966</v>
      </c>
      <c r="E53" s="30">
        <f>SUM(E45:E52)</f>
        <v>2489.304759469655</v>
      </c>
      <c r="F53" s="30">
        <f>SUM(F45:F52)</f>
        <v>4978609.5189393107</v>
      </c>
      <c r="H53" s="1"/>
      <c r="P53" s="69" t="s">
        <v>14</v>
      </c>
      <c r="Q53" s="67">
        <f>SUM(Q45:Q52)</f>
        <v>43940423.063879922</v>
      </c>
      <c r="R53" s="67">
        <f t="shared" ref="R53:U53" si="35">SUM(R45:R52)</f>
        <v>930538324.22990024</v>
      </c>
      <c r="S53" s="67">
        <f t="shared" si="35"/>
        <v>930.53832422990024</v>
      </c>
      <c r="T53" s="67">
        <f t="shared" si="35"/>
        <v>1025.742919187066</v>
      </c>
      <c r="U53" s="67">
        <f t="shared" si="35"/>
        <v>2261376.0419446379</v>
      </c>
      <c r="V53" s="4"/>
      <c r="W53" s="4"/>
      <c r="X53" s="13"/>
    </row>
    <row r="54" spans="1:24">
      <c r="A54" s="76" t="s">
        <v>98</v>
      </c>
      <c r="P54" s="11"/>
      <c r="Q54" s="66"/>
      <c r="R54" s="66"/>
      <c r="S54" s="66"/>
      <c r="T54" s="4"/>
      <c r="U54" s="4"/>
      <c r="V54" s="4"/>
      <c r="W54" s="4"/>
      <c r="X54" s="13"/>
    </row>
    <row r="55" spans="1:24">
      <c r="A55" s="75" t="s">
        <v>114</v>
      </c>
      <c r="P55" s="11"/>
      <c r="Q55" s="72" t="s">
        <v>128</v>
      </c>
      <c r="R55" s="66"/>
      <c r="S55" s="66"/>
      <c r="T55" s="4"/>
      <c r="U55" s="4"/>
      <c r="V55" s="4"/>
      <c r="W55" s="4"/>
      <c r="X55" s="13"/>
    </row>
    <row r="56" spans="1:24">
      <c r="P56" s="11"/>
      <c r="Q56" s="77" t="s">
        <v>127</v>
      </c>
      <c r="R56" s="66"/>
      <c r="S56" s="66"/>
      <c r="T56" s="4"/>
      <c r="U56" s="4"/>
      <c r="W56" s="4"/>
      <c r="X56" s="13"/>
    </row>
    <row r="57" spans="1:24" ht="63">
      <c r="A57" s="55" t="s">
        <v>95</v>
      </c>
      <c r="B57" s="3" t="s">
        <v>15</v>
      </c>
      <c r="C57" s="3" t="s">
        <v>20</v>
      </c>
      <c r="D57" s="3" t="s">
        <v>12</v>
      </c>
      <c r="E57" s="3" t="s">
        <v>19</v>
      </c>
      <c r="F57" s="3" t="s">
        <v>21</v>
      </c>
      <c r="H57" s="55" t="s">
        <v>97</v>
      </c>
      <c r="I57" s="3" t="s">
        <v>15</v>
      </c>
      <c r="J57" s="3" t="s">
        <v>20</v>
      </c>
      <c r="K57" s="3" t="s">
        <v>12</v>
      </c>
      <c r="L57" s="3" t="s">
        <v>19</v>
      </c>
      <c r="M57" s="3" t="s">
        <v>21</v>
      </c>
      <c r="P57" s="74" t="s">
        <v>126</v>
      </c>
      <c r="Q57" s="68" t="s">
        <v>15</v>
      </c>
      <c r="R57" s="68" t="s">
        <v>20</v>
      </c>
      <c r="S57" s="68" t="s">
        <v>12</v>
      </c>
      <c r="T57" s="68" t="s">
        <v>19</v>
      </c>
      <c r="U57" s="68" t="s">
        <v>21</v>
      </c>
      <c r="V57" s="4"/>
      <c r="W57" s="4"/>
      <c r="X57" s="13"/>
    </row>
    <row r="58" spans="1:24">
      <c r="A58" s="1" t="s">
        <v>7</v>
      </c>
      <c r="B58" s="30">
        <v>0</v>
      </c>
      <c r="C58" s="30">
        <f>B58*E3</f>
        <v>0</v>
      </c>
      <c r="D58" s="30">
        <f>C58/1000000</f>
        <v>0</v>
      </c>
      <c r="E58" s="30">
        <f>D58*1.10231131</f>
        <v>0</v>
      </c>
      <c r="F58" s="30">
        <f>E58*2204.62262</f>
        <v>0</v>
      </c>
      <c r="H58" s="1" t="s">
        <v>0</v>
      </c>
      <c r="I58" s="56">
        <f>B59+B65</f>
        <v>529072.34798616171</v>
      </c>
      <c r="J58" s="30">
        <f>I58*B3</f>
        <v>6354687.9716617875</v>
      </c>
      <c r="K58" s="30">
        <f>J58/1000000</f>
        <v>6.3546879716617877</v>
      </c>
      <c r="L58" s="30">
        <f>K58*1.10231131</f>
        <v>7.0048444226837479</v>
      </c>
      <c r="M58" s="30">
        <f>K58*2204.62262</f>
        <v>14009.688845367496</v>
      </c>
      <c r="P58" s="65" t="s">
        <v>7</v>
      </c>
      <c r="Q58" s="66">
        <v>0</v>
      </c>
      <c r="R58" s="66">
        <f>Q58*E3</f>
        <v>0</v>
      </c>
      <c r="S58" s="66">
        <f>R58/1000000</f>
        <v>0</v>
      </c>
      <c r="T58" s="66">
        <f>S58*1.10231131</f>
        <v>0</v>
      </c>
      <c r="U58" s="66">
        <f>T58*2204.62262</f>
        <v>0</v>
      </c>
      <c r="V58" s="4"/>
      <c r="W58" s="4"/>
      <c r="X58" s="13"/>
    </row>
    <row r="59" spans="1:24">
      <c r="A59" s="1" t="s">
        <v>72</v>
      </c>
      <c r="B59" s="30">
        <f>0.2*B25</f>
        <v>484424.89245990338</v>
      </c>
      <c r="C59" s="30">
        <f t="shared" ref="C59:C65" si="36">B59*E4</f>
        <v>21319055.09226789</v>
      </c>
      <c r="D59" s="30">
        <f t="shared" ref="D59:D65" si="37">C59/1000000</f>
        <v>21.319055092267888</v>
      </c>
      <c r="E59" s="30">
        <f>D59*1.10231131</f>
        <v>23.500235546719985</v>
      </c>
      <c r="F59" s="30">
        <f t="shared" ref="F59:F65" si="38">E59*2204.62262</f>
        <v>51809.150861626949</v>
      </c>
      <c r="H59" s="1" t="s">
        <v>2</v>
      </c>
      <c r="I59" s="30">
        <f>(2*B63)+(2*B64)+(2*B61)+(4*B60)</f>
        <v>8907167.3774885461</v>
      </c>
      <c r="J59" s="30">
        <f t="shared" ref="J59:J62" si="39">I59*B4</f>
        <v>8977533.9997707065</v>
      </c>
      <c r="K59" s="30">
        <f t="shared" ref="K59:K62" si="40">J59/1000000</f>
        <v>8.9775339997707064</v>
      </c>
      <c r="L59" s="30">
        <f t="shared" ref="L59:L62" si="41">K59*1.10231131</f>
        <v>9.8960372638567868</v>
      </c>
      <c r="M59" s="30">
        <f t="shared" ref="M59:M62" si="42">K59*2204.62262</f>
        <v>19792.074527713576</v>
      </c>
      <c r="P59" s="65" t="s">
        <v>8</v>
      </c>
      <c r="Q59" s="66">
        <f>(B46-Q46)+(B45-Q45)</f>
        <v>42240227.732142657</v>
      </c>
      <c r="R59" s="66">
        <f t="shared" ref="R59:R65" si="43">Q59*E4</f>
        <v>1858950182.2638662</v>
      </c>
      <c r="S59" s="66">
        <f t="shared" ref="S59:S65" si="44">R59/1000000</f>
        <v>1858.9501822638663</v>
      </c>
      <c r="T59" s="66">
        <f t="shared" ref="T59:T65" si="45">S59*1.10231131</f>
        <v>2049.1418106360211</v>
      </c>
      <c r="U59" s="66">
        <f t="shared" ref="U59:U65" si="46">T59*2204.62262</f>
        <v>4517584.3873159289</v>
      </c>
      <c r="V59" s="4"/>
      <c r="W59" s="4"/>
      <c r="X59" s="13"/>
    </row>
    <row r="60" spans="1:24">
      <c r="A60" s="1" t="s">
        <v>9</v>
      </c>
      <c r="B60" s="30">
        <v>0</v>
      </c>
      <c r="C60" s="30">
        <f t="shared" si="36"/>
        <v>0</v>
      </c>
      <c r="D60" s="30">
        <f t="shared" si="37"/>
        <v>0</v>
      </c>
      <c r="E60" s="30">
        <f t="shared" ref="E60:E65" si="47">D60*1.10231131</f>
        <v>0</v>
      </c>
      <c r="F60" s="30">
        <f t="shared" si="38"/>
        <v>0</v>
      </c>
      <c r="H60" s="1" t="s">
        <v>3</v>
      </c>
      <c r="I60" s="30">
        <f>B58+(2*B59)+(B63)+B65</f>
        <v>4607617.4103098651</v>
      </c>
      <c r="J60" s="30">
        <f t="shared" si="39"/>
        <v>73717270.94754754</v>
      </c>
      <c r="K60" s="30">
        <f t="shared" si="40"/>
        <v>73.717270947547547</v>
      </c>
      <c r="L60" s="30">
        <f t="shared" si="41"/>
        <v>81.259381507816073</v>
      </c>
      <c r="M60" s="30">
        <f t="shared" si="42"/>
        <v>162518.76301563217</v>
      </c>
      <c r="P60" s="65" t="s">
        <v>9</v>
      </c>
      <c r="Q60" s="66">
        <f>Q47</f>
        <v>41394.218679337551</v>
      </c>
      <c r="R60" s="66">
        <f t="shared" si="43"/>
        <v>664070.89258514065</v>
      </c>
      <c r="S60" s="66">
        <f t="shared" si="44"/>
        <v>0.66407089258514063</v>
      </c>
      <c r="T60" s="66">
        <f t="shared" si="45"/>
        <v>0.73201285553839557</v>
      </c>
      <c r="U60" s="66">
        <f t="shared" si="46"/>
        <v>1613.8120994507392</v>
      </c>
      <c r="V60" s="4"/>
      <c r="X60" s="13"/>
    </row>
    <row r="61" spans="1:24">
      <c r="A61" s="1" t="s">
        <v>10</v>
      </c>
      <c r="B61" s="30">
        <v>0</v>
      </c>
      <c r="C61" s="30">
        <f t="shared" si="36"/>
        <v>0</v>
      </c>
      <c r="D61" s="30">
        <f t="shared" si="37"/>
        <v>0</v>
      </c>
      <c r="E61" s="30">
        <f t="shared" si="47"/>
        <v>0</v>
      </c>
      <c r="F61" s="30">
        <f t="shared" si="38"/>
        <v>0</v>
      </c>
      <c r="H61" s="1" t="s">
        <v>4</v>
      </c>
      <c r="I61" s="30">
        <f>2*B62</f>
        <v>0</v>
      </c>
      <c r="J61" s="30">
        <f t="shared" si="39"/>
        <v>0</v>
      </c>
      <c r="K61" s="30">
        <f t="shared" si="40"/>
        <v>0</v>
      </c>
      <c r="L61" s="30">
        <f t="shared" si="41"/>
        <v>0</v>
      </c>
      <c r="M61" s="30">
        <f t="shared" si="42"/>
        <v>0</v>
      </c>
      <c r="P61" s="65" t="s">
        <v>10</v>
      </c>
      <c r="Q61" s="66">
        <f>(B48-Q48)+Q70</f>
        <v>58255367.985928968</v>
      </c>
      <c r="R61" s="66">
        <f t="shared" si="43"/>
        <v>117431170.78603561</v>
      </c>
      <c r="S61" s="66">
        <f t="shared" si="44"/>
        <v>117.43117078603561</v>
      </c>
      <c r="T61" s="66">
        <f t="shared" si="45"/>
        <v>129.44570770398863</v>
      </c>
      <c r="U61" s="66">
        <f t="shared" si="46"/>
        <v>285378.93526612164</v>
      </c>
      <c r="V61" s="4"/>
      <c r="W61" s="4"/>
      <c r="X61" s="13"/>
    </row>
    <row r="62" spans="1:24">
      <c r="A62" s="1" t="s">
        <v>11</v>
      </c>
      <c r="B62" s="30">
        <v>0</v>
      </c>
      <c r="C62" s="30">
        <f t="shared" si="36"/>
        <v>0</v>
      </c>
      <c r="D62" s="30">
        <f t="shared" si="37"/>
        <v>0</v>
      </c>
      <c r="E62" s="30">
        <f t="shared" si="47"/>
        <v>0</v>
      </c>
      <c r="F62" s="30">
        <f t="shared" si="38"/>
        <v>0</v>
      </c>
      <c r="H62" s="1" t="s">
        <v>5</v>
      </c>
      <c r="I62" s="30">
        <f>B64+B65</f>
        <v>904110.97440673213</v>
      </c>
      <c r="J62" s="30">
        <f t="shared" si="39"/>
        <v>28991222.505326275</v>
      </c>
      <c r="K62" s="30">
        <f t="shared" si="40"/>
        <v>28.991222505326274</v>
      </c>
      <c r="L62" s="30">
        <f t="shared" si="41"/>
        <v>31.957352458347685</v>
      </c>
      <c r="M62" s="30">
        <f t="shared" si="42"/>
        <v>63914.704916695373</v>
      </c>
      <c r="P62" s="65" t="s">
        <v>11</v>
      </c>
      <c r="Q62" s="66">
        <f>Q49</f>
        <v>2272082.6697325283</v>
      </c>
      <c r="R62" s="66">
        <f t="shared" si="43"/>
        <v>63650123.909887046</v>
      </c>
      <c r="S62" s="66">
        <f t="shared" si="44"/>
        <v>63.650123909887043</v>
      </c>
      <c r="T62" s="66">
        <f t="shared" si="45"/>
        <v>70.162251468769909</v>
      </c>
      <c r="U62" s="66">
        <f t="shared" si="46"/>
        <v>154681.28665817837</v>
      </c>
      <c r="V62" s="4"/>
      <c r="W62" s="4"/>
      <c r="X62" s="13"/>
    </row>
    <row r="63" spans="1:24">
      <c r="A63" s="1" t="s">
        <v>22</v>
      </c>
      <c r="B63" s="30">
        <f>B29</f>
        <v>3594120.1698637996</v>
      </c>
      <c r="C63" s="30">
        <f t="shared" si="36"/>
        <v>64747356.036062382</v>
      </c>
      <c r="D63" s="30">
        <f t="shared" si="37"/>
        <v>64.747356036062385</v>
      </c>
      <c r="E63" s="30">
        <f t="shared" si="47"/>
        <v>71.371742851148326</v>
      </c>
      <c r="F63" s="30">
        <f t="shared" si="38"/>
        <v>157347.7587184649</v>
      </c>
      <c r="H63" s="1" t="s">
        <v>14</v>
      </c>
      <c r="I63" s="30">
        <f>SUM(I58:I62)</f>
        <v>14947968.110191306</v>
      </c>
      <c r="J63" s="30">
        <f>SUM(J58:J62)</f>
        <v>118040715.4243063</v>
      </c>
      <c r="K63" s="30">
        <f>SUM(K58:K62)</f>
        <v>118.04071542430631</v>
      </c>
      <c r="L63" s="30">
        <f>SUM(L58:L62)</f>
        <v>130.1176156527043</v>
      </c>
      <c r="M63" s="30">
        <f>SUM(M58:M62)</f>
        <v>260235.23130540861</v>
      </c>
      <c r="P63" s="65" t="s">
        <v>22</v>
      </c>
      <c r="Q63" s="66">
        <v>0</v>
      </c>
      <c r="R63" s="66">
        <f t="shared" si="43"/>
        <v>0</v>
      </c>
      <c r="S63" s="66">
        <f t="shared" si="44"/>
        <v>0</v>
      </c>
      <c r="T63" s="66">
        <f t="shared" si="45"/>
        <v>0</v>
      </c>
      <c r="U63" s="66">
        <f t="shared" si="46"/>
        <v>0</v>
      </c>
      <c r="V63" s="4"/>
      <c r="W63" s="4"/>
      <c r="X63" s="13"/>
    </row>
    <row r="64" spans="1:24">
      <c r="A64" s="1" t="s">
        <v>23</v>
      </c>
      <c r="B64" s="30">
        <f>B30</f>
        <v>859463.5188804738</v>
      </c>
      <c r="C64" s="30">
        <f t="shared" si="36"/>
        <v>29292063.757780533</v>
      </c>
      <c r="D64" s="30">
        <f t="shared" si="37"/>
        <v>29.292063757780532</v>
      </c>
      <c r="E64" s="30">
        <f t="shared" si="47"/>
        <v>32.288973173442578</v>
      </c>
      <c r="F64" s="30">
        <f>E64*2204.62262</f>
        <v>71185.000634744691</v>
      </c>
      <c r="P64" s="65" t="s">
        <v>23</v>
      </c>
      <c r="Q64" s="66">
        <v>0</v>
      </c>
      <c r="R64" s="66">
        <f t="shared" si="43"/>
        <v>0</v>
      </c>
      <c r="S64" s="66">
        <f t="shared" si="44"/>
        <v>0</v>
      </c>
      <c r="T64" s="66">
        <f t="shared" si="45"/>
        <v>0</v>
      </c>
      <c r="U64" s="66">
        <f t="shared" si="46"/>
        <v>0</v>
      </c>
      <c r="V64" s="4"/>
      <c r="W64" s="4"/>
      <c r="X64" s="13"/>
    </row>
    <row r="65" spans="1:24">
      <c r="A65" s="1" t="s">
        <v>24</v>
      </c>
      <c r="B65" s="30">
        <f>B31</f>
        <v>44647.455526258374</v>
      </c>
      <c r="C65" s="30">
        <f t="shared" si="36"/>
        <v>2682240.5381954983</v>
      </c>
      <c r="D65" s="30">
        <f t="shared" si="37"/>
        <v>2.6822405381954981</v>
      </c>
      <c r="E65" s="30">
        <f t="shared" si="47"/>
        <v>2.9566640813933844</v>
      </c>
      <c r="F65" s="30">
        <f t="shared" si="38"/>
        <v>6518.3285135813767</v>
      </c>
      <c r="P65" s="65" t="s">
        <v>24</v>
      </c>
      <c r="Q65" s="66">
        <v>0</v>
      </c>
      <c r="R65" s="66">
        <f t="shared" si="43"/>
        <v>0</v>
      </c>
      <c r="S65" s="66">
        <f t="shared" si="44"/>
        <v>0</v>
      </c>
      <c r="T65" s="66">
        <f t="shared" si="45"/>
        <v>0</v>
      </c>
      <c r="U65" s="66">
        <f t="shared" si="46"/>
        <v>0</v>
      </c>
      <c r="V65" s="4"/>
      <c r="W65" s="4"/>
      <c r="X65" s="13"/>
    </row>
    <row r="66" spans="1:24">
      <c r="A66" s="1" t="s">
        <v>14</v>
      </c>
      <c r="B66" s="30">
        <f>SUM(B58:B65)</f>
        <v>4982656.0367304357</v>
      </c>
      <c r="C66" s="30">
        <f>SUM(C58:C65)</f>
        <v>118040715.4243063</v>
      </c>
      <c r="D66" s="30">
        <f>SUM(D58:D65)</f>
        <v>118.0407154243063</v>
      </c>
      <c r="E66" s="30">
        <f>SUM(E58:E65)</f>
        <v>130.11761565270427</v>
      </c>
      <c r="F66" s="30">
        <f>SUM(F58:F65)</f>
        <v>286860.2387284179</v>
      </c>
      <c r="P66" s="70" t="s">
        <v>14</v>
      </c>
      <c r="Q66" s="71">
        <f>SUM(Q58:Q65)</f>
        <v>102809072.60648349</v>
      </c>
      <c r="R66" s="71">
        <f>SUM(R58:R65)</f>
        <v>2040695547.8523738</v>
      </c>
      <c r="S66" s="71">
        <f>SUM(S58:S65)</f>
        <v>2040.6955478523741</v>
      </c>
      <c r="T66" s="71">
        <f>SUM(T58:T65)</f>
        <v>2249.4817826643184</v>
      </c>
      <c r="U66" s="71">
        <f>SUM(U58:U65)</f>
        <v>4959258.4213396795</v>
      </c>
      <c r="V66" s="15"/>
      <c r="W66" s="15"/>
      <c r="X66" s="14"/>
    </row>
    <row r="67" spans="1:24">
      <c r="G67" s="30"/>
    </row>
    <row r="68" spans="1:24">
      <c r="A68" s="76" t="s">
        <v>106</v>
      </c>
      <c r="B68" s="76"/>
      <c r="C68" s="76">
        <v>0.58794000000000002</v>
      </c>
      <c r="D68" s="76" t="s">
        <v>110</v>
      </c>
      <c r="E68" s="76"/>
      <c r="F68" s="76"/>
    </row>
    <row r="69" spans="1:24" ht="63">
      <c r="A69" s="55" t="s">
        <v>99</v>
      </c>
      <c r="B69" s="3" t="s">
        <v>15</v>
      </c>
      <c r="C69" s="3" t="s">
        <v>20</v>
      </c>
      <c r="D69" s="3" t="s">
        <v>12</v>
      </c>
      <c r="E69" s="3" t="s">
        <v>19</v>
      </c>
      <c r="F69" s="3" t="s">
        <v>21</v>
      </c>
      <c r="H69" s="55" t="s">
        <v>100</v>
      </c>
      <c r="I69" s="3" t="s">
        <v>15</v>
      </c>
      <c r="J69" s="3" t="s">
        <v>20</v>
      </c>
      <c r="K69" s="3" t="s">
        <v>12</v>
      </c>
      <c r="L69" s="3" t="s">
        <v>19</v>
      </c>
      <c r="M69" s="3" t="s">
        <v>21</v>
      </c>
      <c r="N69" s="3"/>
      <c r="P69" s="55" t="s">
        <v>129</v>
      </c>
      <c r="Q69" s="3" t="s">
        <v>15</v>
      </c>
      <c r="R69" s="3" t="s">
        <v>20</v>
      </c>
      <c r="S69" s="3" t="s">
        <v>12</v>
      </c>
      <c r="T69" s="3" t="s">
        <v>19</v>
      </c>
      <c r="U69" s="3" t="s">
        <v>21</v>
      </c>
    </row>
    <row r="70" spans="1:24">
      <c r="A70" s="1" t="s">
        <v>7</v>
      </c>
      <c r="B70" s="30">
        <f>(1-C68)*B45</f>
        <v>28805776.84318791</v>
      </c>
      <c r="C70" s="30">
        <f>B70*E3</f>
        <v>806849809.3776933</v>
      </c>
      <c r="D70" s="30">
        <f>C70/1000000</f>
        <v>806.8498093776933</v>
      </c>
      <c r="E70" s="30">
        <f>D70*1.10231131</f>
        <v>889.39967034837537</v>
      </c>
      <c r="F70" s="30">
        <f>E70*2204.62262</f>
        <v>1960790.6314705717</v>
      </c>
      <c r="H70" s="1" t="s">
        <v>0</v>
      </c>
      <c r="I70" s="56">
        <f>B70+B71+B72+B77</f>
        <v>71944909.835012764</v>
      </c>
      <c r="J70" s="30">
        <f>I70*B3</f>
        <v>864130312.02833819</v>
      </c>
      <c r="K70" s="30">
        <f>J70/1000000</f>
        <v>864.13031202833815</v>
      </c>
      <c r="L70" s="30">
        <f>K70*1.10231131</f>
        <v>952.54061626266616</v>
      </c>
      <c r="M70" s="30">
        <f>L70*2204.62262</f>
        <v>2099992.5890814136</v>
      </c>
      <c r="O70" s="1"/>
      <c r="P70" s="32" t="s">
        <v>22</v>
      </c>
      <c r="Q70" s="30">
        <f>B45-B70</f>
        <v>41100976.647051156</v>
      </c>
      <c r="R70">
        <f>Q70*E8</f>
        <v>740425874.10129726</v>
      </c>
      <c r="S70">
        <f>R70/1000000</f>
        <v>740.42587410129727</v>
      </c>
      <c r="T70">
        <f>S70*1.10231131</f>
        <v>816.17981523849596</v>
      </c>
      <c r="U70">
        <f>S70*2204.62262</f>
        <v>1632359.6304769921</v>
      </c>
    </row>
    <row r="71" spans="1:24">
      <c r="A71" s="1" t="s">
        <v>8</v>
      </c>
      <c r="B71" s="30">
        <f>B46+(C68*B45)</f>
        <v>43038676.216890775</v>
      </c>
      <c r="C71" s="30">
        <f t="shared" ref="C71:C77" si="48">B71*E4</f>
        <v>1894089101.6291461</v>
      </c>
      <c r="D71" s="30">
        <f t="shared" ref="D71:D77" si="49">C71/1000000</f>
        <v>1894.0891016291462</v>
      </c>
      <c r="E71" s="30">
        <f t="shared" ref="E71:E77" si="50">D71*1.10231131</f>
        <v>2087.8758388735473</v>
      </c>
      <c r="F71" s="30">
        <f t="shared" ref="F71:F77" si="51">E71*2204.62262</f>
        <v>4602978.302132098</v>
      </c>
      <c r="H71" s="1" t="s">
        <v>2</v>
      </c>
      <c r="I71">
        <f>(4*B72)+(2*B73)+(2*B75)+(2*B76)</f>
        <v>140958004.76665837</v>
      </c>
      <c r="J71" s="30">
        <f t="shared" ref="J71:J74" si="52">I71*B4</f>
        <v>142071573.00431496</v>
      </c>
      <c r="K71" s="30">
        <f t="shared" ref="K71:K74" si="53">J71/1000000</f>
        <v>142.07157300431496</v>
      </c>
      <c r="L71" s="30">
        <f t="shared" ref="L71:L74" si="54">K71*1.10231131</f>
        <v>156.60710175214706</v>
      </c>
      <c r="M71" s="30">
        <f t="shared" ref="M71:M74" si="55">L71*2204.62262</f>
        <v>345259.55897542508</v>
      </c>
      <c r="O71" s="1"/>
    </row>
    <row r="72" spans="1:24">
      <c r="A72" s="1" t="s">
        <v>9</v>
      </c>
      <c r="B72" s="30">
        <f>B47</f>
        <v>100456.77493408133</v>
      </c>
      <c r="C72" s="30">
        <f t="shared" si="48"/>
        <v>1611587.8575574933</v>
      </c>
      <c r="D72" s="30">
        <f t="shared" si="49"/>
        <v>1.6115878575574933</v>
      </c>
      <c r="E72" s="30">
        <f t="shared" si="50"/>
        <v>1.7764715224442937</v>
      </c>
      <c r="F72" s="30">
        <f t="shared" si="51"/>
        <v>3916.449302166528</v>
      </c>
      <c r="H72" s="1" t="s">
        <v>3</v>
      </c>
      <c r="I72">
        <f>B70+(2*B71)+(B75)+(B77)</f>
        <v>114883129.27696946</v>
      </c>
      <c r="J72" s="30">
        <f t="shared" si="52"/>
        <v>1838015185.3022344</v>
      </c>
      <c r="K72" s="30">
        <f t="shared" si="53"/>
        <v>1838.0151853022344</v>
      </c>
      <c r="L72" s="30">
        <f t="shared" si="54"/>
        <v>2026.0649267103986</v>
      </c>
      <c r="M72" s="30">
        <f t="shared" si="55"/>
        <v>4466708.5670143869</v>
      </c>
      <c r="O72" s="1"/>
    </row>
    <row r="73" spans="1:24">
      <c r="A73" s="1" t="s">
        <v>10</v>
      </c>
      <c r="B73" s="30">
        <f>(C68*B45)+B48</f>
        <v>70278088.833461016</v>
      </c>
      <c r="C73" s="30">
        <f t="shared" si="48"/>
        <v>141666571.47049072</v>
      </c>
      <c r="D73" s="30">
        <f t="shared" si="49"/>
        <v>141.66657147049074</v>
      </c>
      <c r="E73" s="30">
        <f t="shared" si="50"/>
        <v>156.16066398084527</v>
      </c>
      <c r="F73" s="30">
        <f t="shared" si="51"/>
        <v>344275.33216639073</v>
      </c>
      <c r="H73" s="1" t="s">
        <v>4</v>
      </c>
      <c r="I73" s="60">
        <f>2*B74</f>
        <v>11027921.51498582</v>
      </c>
      <c r="J73" s="30">
        <f t="shared" si="52"/>
        <v>154468096.66040638</v>
      </c>
      <c r="K73" s="30">
        <f t="shared" si="53"/>
        <v>154.46809666040639</v>
      </c>
      <c r="L73" s="30">
        <f t="shared" si="54"/>
        <v>170.27192998293918</v>
      </c>
      <c r="M73" s="30">
        <f t="shared" si="55"/>
        <v>375385.34839144396</v>
      </c>
      <c r="O73" s="1"/>
    </row>
    <row r="74" spans="1:24">
      <c r="A74" s="1" t="s">
        <v>11</v>
      </c>
      <c r="B74" s="30">
        <f>B49</f>
        <v>5513960.7574929101</v>
      </c>
      <c r="C74" s="30">
        <f t="shared" si="48"/>
        <v>154468096.66040638</v>
      </c>
      <c r="D74" s="30">
        <f t="shared" si="49"/>
        <v>154.46809666040639</v>
      </c>
      <c r="E74" s="30">
        <f t="shared" si="50"/>
        <v>170.27192998293918</v>
      </c>
      <c r="F74" s="30">
        <f t="shared" si="51"/>
        <v>375385.34839144396</v>
      </c>
      <c r="H74" s="1" t="s">
        <v>5</v>
      </c>
      <c r="I74">
        <f>B76+B77</f>
        <v>0</v>
      </c>
      <c r="J74" s="30">
        <f t="shared" si="52"/>
        <v>0</v>
      </c>
      <c r="K74" s="30">
        <f t="shared" si="53"/>
        <v>0</v>
      </c>
      <c r="L74" s="30">
        <f t="shared" si="54"/>
        <v>0</v>
      </c>
      <c r="M74" s="30">
        <f t="shared" si="55"/>
        <v>0</v>
      </c>
      <c r="O74" s="1"/>
    </row>
    <row r="75" spans="1:24">
      <c r="A75" s="1" t="s">
        <v>22</v>
      </c>
      <c r="B75" s="30">
        <v>0</v>
      </c>
      <c r="C75" s="30">
        <f t="shared" si="48"/>
        <v>0</v>
      </c>
      <c r="D75" s="30">
        <f t="shared" si="49"/>
        <v>0</v>
      </c>
      <c r="E75" s="30">
        <f t="shared" si="50"/>
        <v>0</v>
      </c>
      <c r="F75" s="30">
        <f t="shared" si="51"/>
        <v>0</v>
      </c>
      <c r="H75" s="1" t="s">
        <v>14</v>
      </c>
      <c r="I75" s="30">
        <f>SUM(I70:I74)</f>
        <v>338813965.39362639</v>
      </c>
      <c r="J75" s="30">
        <f>SUM(J70:J74)</f>
        <v>2998685166.9952941</v>
      </c>
      <c r="K75" s="30">
        <f t="shared" ref="K75:M75" si="56">SUM(K70:K74)</f>
        <v>2998.6851669952939</v>
      </c>
      <c r="L75" s="30">
        <f>SUM(L70:L74)</f>
        <v>3305.4845747081508</v>
      </c>
      <c r="M75" s="30">
        <f t="shared" si="56"/>
        <v>7287346.063462669</v>
      </c>
      <c r="O75" s="1"/>
    </row>
    <row r="76" spans="1:24">
      <c r="A76" s="1" t="s">
        <v>23</v>
      </c>
      <c r="B76" s="30">
        <f>B51</f>
        <v>0</v>
      </c>
      <c r="C76" s="30">
        <f t="shared" si="48"/>
        <v>0</v>
      </c>
      <c r="D76" s="30">
        <f t="shared" si="49"/>
        <v>0</v>
      </c>
      <c r="E76" s="30">
        <f t="shared" si="50"/>
        <v>0</v>
      </c>
      <c r="F76" s="30">
        <f t="shared" si="51"/>
        <v>0</v>
      </c>
    </row>
    <row r="77" spans="1:24">
      <c r="A77" s="1" t="s">
        <v>24</v>
      </c>
      <c r="B77" s="30">
        <f>B52</f>
        <v>0</v>
      </c>
      <c r="C77" s="30">
        <f t="shared" si="48"/>
        <v>0</v>
      </c>
      <c r="D77" s="30">
        <f t="shared" si="49"/>
        <v>0</v>
      </c>
      <c r="E77" s="30">
        <f t="shared" si="50"/>
        <v>0</v>
      </c>
      <c r="F77" s="30">
        <f t="shared" si="51"/>
        <v>0</v>
      </c>
    </row>
    <row r="78" spans="1:24">
      <c r="A78" s="1" t="s">
        <v>14</v>
      </c>
      <c r="B78" s="30">
        <f>SUM(B70:B77)</f>
        <v>147736959.42596668</v>
      </c>
      <c r="C78" s="30">
        <f>SUM(C70:C77)</f>
        <v>2998685166.9952941</v>
      </c>
      <c r="D78" s="30">
        <f>SUM(D70:D77)</f>
        <v>2998.6851669952944</v>
      </c>
      <c r="E78" s="30">
        <f>SUM(E70:E77)</f>
        <v>3305.4845747081513</v>
      </c>
      <c r="F78" s="30">
        <f>SUM(F70:F77)</f>
        <v>7287346.0634626709</v>
      </c>
    </row>
    <row r="81" spans="1:16" ht="63">
      <c r="A81" s="34" t="s">
        <v>101</v>
      </c>
      <c r="B81" s="3" t="s">
        <v>15</v>
      </c>
      <c r="C81" s="3" t="s">
        <v>20</v>
      </c>
      <c r="D81" s="3" t="s">
        <v>12</v>
      </c>
      <c r="E81" s="3" t="s">
        <v>19</v>
      </c>
      <c r="F81" s="3" t="s">
        <v>21</v>
      </c>
      <c r="H81" s="34" t="s">
        <v>102</v>
      </c>
      <c r="I81" s="3" t="s">
        <v>15</v>
      </c>
      <c r="J81" s="3" t="s">
        <v>20</v>
      </c>
      <c r="K81" s="3" t="s">
        <v>12</v>
      </c>
      <c r="L81" s="3" t="s">
        <v>19</v>
      </c>
      <c r="M81" s="3" t="s">
        <v>21</v>
      </c>
      <c r="O81" s="3"/>
    </row>
    <row r="82" spans="1:16">
      <c r="A82" s="1" t="s">
        <v>7</v>
      </c>
      <c r="B82" s="30">
        <f t="shared" ref="B82:B89" si="57">C82/E3</f>
        <v>76787644.609632894</v>
      </c>
      <c r="C82" s="30">
        <f t="shared" ref="C82:C89" si="58">$J$87*R4</f>
        <v>2150821925.5158172</v>
      </c>
      <c r="D82" s="30">
        <f>C82/1000000</f>
        <v>2150.8219255158174</v>
      </c>
      <c r="E82" s="30">
        <f>D82*1.10231131</f>
        <v>2370.8753342920631</v>
      </c>
      <c r="F82" s="30">
        <f>E82*2204.62262</f>
        <v>5226885.3911803439</v>
      </c>
      <c r="H82" s="1" t="s">
        <v>0</v>
      </c>
      <c r="I82" s="30">
        <f>$I$87*Q16</f>
        <v>52427789.207860194</v>
      </c>
      <c r="J82" s="30">
        <f>$J$87*R16</f>
        <v>1045776857.7618458</v>
      </c>
      <c r="K82" s="30">
        <f>J82/1000000</f>
        <v>1045.7768577618458</v>
      </c>
      <c r="L82" s="30">
        <f>K82*1.10231131</f>
        <v>1152.7716580471438</v>
      </c>
      <c r="M82" s="30">
        <f>L82*2204.62262</f>
        <v>2541426.4730256381</v>
      </c>
      <c r="O82" s="1"/>
    </row>
    <row r="83" spans="1:16">
      <c r="A83" s="1" t="s">
        <v>8</v>
      </c>
      <c r="B83" s="30">
        <f t="shared" si="57"/>
        <v>9701812.958575299</v>
      </c>
      <c r="C83" s="30">
        <f t="shared" si="58"/>
        <v>426967086.49394035</v>
      </c>
      <c r="D83" s="30">
        <f t="shared" ref="D83:D89" si="59">C83/1000000</f>
        <v>426.96708649394037</v>
      </c>
      <c r="E83" s="30">
        <f t="shared" ref="E83:E89" si="60">D83*1.10231131</f>
        <v>470.6506484400187</v>
      </c>
      <c r="F83" s="30">
        <f t="shared" ref="F83:F89" si="61">E83*2204.62262</f>
        <v>1037607.065668533</v>
      </c>
      <c r="H83" s="1" t="s">
        <v>2</v>
      </c>
      <c r="I83" s="30">
        <f t="shared" ref="I83:I86" si="62">$I$87*Q17</f>
        <v>227004526.99750289</v>
      </c>
      <c r="J83" s="30">
        <f t="shared" ref="J83:J86" si="63">$J$87*R17</f>
        <v>379970848.54774791</v>
      </c>
      <c r="K83" s="30">
        <f t="shared" ref="K83:K86" si="64">J83/1000000</f>
        <v>379.97084854774789</v>
      </c>
      <c r="L83" s="30">
        <f t="shared" ref="L83:L86" si="65">K83*1.10231131</f>
        <v>418.84616382447956</v>
      </c>
      <c r="M83" s="30">
        <f t="shared" ref="M83:M86" si="66">L83*2204.62262</f>
        <v>923397.72706767335</v>
      </c>
      <c r="O83" s="1"/>
    </row>
    <row r="84" spans="1:16">
      <c r="A84" s="1" t="s">
        <v>9</v>
      </c>
      <c r="B84" s="30">
        <f t="shared" si="57"/>
        <v>578801.34127863985</v>
      </c>
      <c r="C84" s="30">
        <f t="shared" si="58"/>
        <v>9285478.3975967076</v>
      </c>
      <c r="D84" s="30">
        <f t="shared" si="59"/>
        <v>9.285478397596707</v>
      </c>
      <c r="E84" s="30">
        <f t="shared" si="60"/>
        <v>10.235487856431526</v>
      </c>
      <c r="F84" s="30">
        <f t="shared" si="61"/>
        <v>22565.388055024254</v>
      </c>
      <c r="H84" s="1" t="s">
        <v>3</v>
      </c>
      <c r="I84" s="30">
        <f t="shared" si="62"/>
        <v>57921172.629133299</v>
      </c>
      <c r="J84" s="30">
        <f t="shared" si="63"/>
        <v>1538964137.1580086</v>
      </c>
      <c r="K84" s="30">
        <f t="shared" si="64"/>
        <v>1538.9641371580085</v>
      </c>
      <c r="L84" s="30">
        <f t="shared" si="65"/>
        <v>1696.4175740736639</v>
      </c>
      <c r="M84" s="30">
        <f t="shared" si="66"/>
        <v>3739960.5567683252</v>
      </c>
      <c r="O84" s="1"/>
    </row>
    <row r="85" spans="1:16">
      <c r="A85" s="1" t="s">
        <v>73</v>
      </c>
      <c r="B85" s="30">
        <f t="shared" si="57"/>
        <v>187338700.79385307</v>
      </c>
      <c r="C85" s="30">
        <f t="shared" si="58"/>
        <v>377637353.06024903</v>
      </c>
      <c r="D85" s="30">
        <f t="shared" si="59"/>
        <v>377.63735306024904</v>
      </c>
      <c r="E85" s="30">
        <f t="shared" si="60"/>
        <v>416.27392535677558</v>
      </c>
      <c r="F85" s="30">
        <f t="shared" si="61"/>
        <v>917726.91195773904</v>
      </c>
      <c r="H85" s="1" t="s">
        <v>4</v>
      </c>
      <c r="I85" s="30">
        <f t="shared" si="62"/>
        <v>1460476.5591300083</v>
      </c>
      <c r="J85" s="30">
        <f t="shared" si="63"/>
        <v>33973323.527691029</v>
      </c>
      <c r="K85" s="30">
        <f t="shared" si="64"/>
        <v>33.973323527691029</v>
      </c>
      <c r="L85" s="30">
        <f t="shared" si="65"/>
        <v>37.449178762862914</v>
      </c>
      <c r="M85" s="30">
        <f t="shared" si="66"/>
        <v>82561.306601031203</v>
      </c>
      <c r="O85" s="1"/>
    </row>
    <row r="86" spans="1:16">
      <c r="A86" s="1" t="s">
        <v>11</v>
      </c>
      <c r="B86" s="30">
        <f t="shared" si="57"/>
        <v>1212726.6198219124</v>
      </c>
      <c r="C86" s="30">
        <f t="shared" si="58"/>
        <v>33973323.527691051</v>
      </c>
      <c r="D86" s="30">
        <f t="shared" si="59"/>
        <v>33.973323527691051</v>
      </c>
      <c r="E86" s="30">
        <f t="shared" si="60"/>
        <v>37.449178762862942</v>
      </c>
      <c r="F86" s="30">
        <f t="shared" si="61"/>
        <v>82561.306601031261</v>
      </c>
      <c r="H86" s="1" t="s">
        <v>5</v>
      </c>
      <c r="I86" s="30">
        <f t="shared" si="62"/>
        <v>0</v>
      </c>
      <c r="J86" s="30">
        <f t="shared" si="63"/>
        <v>0</v>
      </c>
      <c r="K86" s="30">
        <f t="shared" si="64"/>
        <v>0</v>
      </c>
      <c r="L86" s="30">
        <f t="shared" si="65"/>
        <v>0</v>
      </c>
      <c r="M86" s="30">
        <f t="shared" si="66"/>
        <v>0</v>
      </c>
      <c r="O86" s="1"/>
    </row>
    <row r="87" spans="1:16">
      <c r="A87" s="1" t="s">
        <v>22</v>
      </c>
      <c r="B87" s="30">
        <f t="shared" si="57"/>
        <v>0</v>
      </c>
      <c r="C87" s="30">
        <f t="shared" si="58"/>
        <v>0</v>
      </c>
      <c r="D87" s="30">
        <f t="shared" si="59"/>
        <v>0</v>
      </c>
      <c r="E87" s="30">
        <f t="shared" si="60"/>
        <v>0</v>
      </c>
      <c r="F87" s="30">
        <f t="shared" si="61"/>
        <v>0</v>
      </c>
      <c r="H87" s="1" t="s">
        <v>14</v>
      </c>
      <c r="I87" s="46">
        <f>I75</f>
        <v>338813965.39362639</v>
      </c>
      <c r="J87" s="46">
        <f>J75</f>
        <v>2998685166.9952941</v>
      </c>
      <c r="K87" s="30">
        <f t="shared" ref="K87:M87" si="67">SUM(K82:K86)</f>
        <v>2998.685166995293</v>
      </c>
      <c r="L87" s="30">
        <f t="shared" si="67"/>
        <v>3305.4845747081504</v>
      </c>
      <c r="M87" s="30">
        <f t="shared" si="67"/>
        <v>7287346.0634626672</v>
      </c>
      <c r="O87" s="1"/>
    </row>
    <row r="88" spans="1:16">
      <c r="A88" s="1" t="s">
        <v>23</v>
      </c>
      <c r="B88" s="30">
        <f t="shared" si="57"/>
        <v>0</v>
      </c>
      <c r="C88" s="30">
        <f t="shared" si="58"/>
        <v>0</v>
      </c>
      <c r="D88" s="30">
        <f t="shared" si="59"/>
        <v>0</v>
      </c>
      <c r="E88" s="30">
        <f t="shared" si="60"/>
        <v>0</v>
      </c>
      <c r="F88" s="30">
        <f t="shared" si="61"/>
        <v>0</v>
      </c>
      <c r="O88" s="1"/>
    </row>
    <row r="89" spans="1:16">
      <c r="A89" s="1" t="s">
        <v>24</v>
      </c>
      <c r="B89" s="30">
        <f t="shared" si="57"/>
        <v>0</v>
      </c>
      <c r="C89" s="30">
        <f t="shared" si="58"/>
        <v>0</v>
      </c>
      <c r="D89" s="30">
        <f t="shared" si="59"/>
        <v>0</v>
      </c>
      <c r="E89" s="30">
        <f t="shared" si="60"/>
        <v>0</v>
      </c>
      <c r="F89" s="30">
        <f t="shared" si="61"/>
        <v>0</v>
      </c>
      <c r="I89" s="30"/>
      <c r="O89" s="1"/>
    </row>
    <row r="90" spans="1:16">
      <c r="A90" s="1" t="s">
        <v>14</v>
      </c>
      <c r="B90" s="30">
        <f>SUM(B82:B86)</f>
        <v>275619686.32316184</v>
      </c>
      <c r="C90" s="46">
        <f>SUM(C82:C86)</f>
        <v>2998685166.9952941</v>
      </c>
      <c r="D90" s="30">
        <f t="shared" ref="D90:F90" si="68">SUM(D82:D86)</f>
        <v>2998.6851669952948</v>
      </c>
      <c r="E90" s="30">
        <f t="shared" si="68"/>
        <v>3305.4845747081522</v>
      </c>
      <c r="F90" s="30">
        <f t="shared" si="68"/>
        <v>7287346.0634626718</v>
      </c>
      <c r="O90" s="1"/>
      <c r="P90" s="30"/>
    </row>
    <row r="91" spans="1:16">
      <c r="O91" s="30"/>
      <c r="P91" s="30"/>
    </row>
    <row r="92" spans="1:16">
      <c r="O92" s="30"/>
      <c r="P92" s="30"/>
    </row>
    <row r="93" spans="1:16" ht="30">
      <c r="A93" s="38" t="s">
        <v>70</v>
      </c>
      <c r="O93" s="30"/>
      <c r="P93" s="30"/>
    </row>
    <row r="94" spans="1:16" ht="30">
      <c r="A94" s="38" t="s">
        <v>51</v>
      </c>
      <c r="B94" s="1" t="s">
        <v>50</v>
      </c>
      <c r="C94" s="1" t="s">
        <v>52</v>
      </c>
      <c r="D94" s="1" t="s">
        <v>53</v>
      </c>
      <c r="E94" s="57" t="s">
        <v>115</v>
      </c>
      <c r="F94" s="1" t="s">
        <v>55</v>
      </c>
      <c r="G94" s="57" t="s">
        <v>103</v>
      </c>
      <c r="H94" s="57"/>
      <c r="K94" s="1" t="s">
        <v>111</v>
      </c>
      <c r="L94" s="1"/>
      <c r="M94" s="1" t="s">
        <v>112</v>
      </c>
      <c r="O94" s="30"/>
      <c r="P94" s="30"/>
    </row>
    <row r="95" spans="1:16">
      <c r="A95" t="s">
        <v>0</v>
      </c>
      <c r="B95" s="30">
        <f>$B$100*Y16</f>
        <v>959.54546068535001</v>
      </c>
      <c r="C95" s="30">
        <f>$C$100*AE16</f>
        <v>0</v>
      </c>
      <c r="D95" s="30">
        <f>$D$100*AB16</f>
        <v>0</v>
      </c>
      <c r="E95" s="46">
        <f>SUM(B95:D95)</f>
        <v>959.54546068535001</v>
      </c>
      <c r="F95" s="46">
        <f>$F$100*V16</f>
        <v>959.54546068534978</v>
      </c>
      <c r="G95" s="30">
        <f>$G$100*AH16</f>
        <v>952.54061626266616</v>
      </c>
      <c r="H95" s="79" t="s">
        <v>109</v>
      </c>
      <c r="K95" s="62">
        <f>B82/B85</f>
        <v>0.4098867147270856</v>
      </c>
      <c r="L95" s="62"/>
      <c r="M95" s="62">
        <f>B70/B73</f>
        <v>0.40988275750425379</v>
      </c>
      <c r="O95" s="30"/>
      <c r="P95" s="30"/>
    </row>
    <row r="96" spans="1:16">
      <c r="A96" t="s">
        <v>2</v>
      </c>
      <c r="B96" s="30">
        <f>$B$100*Y17</f>
        <v>46.076612758000003</v>
      </c>
      <c r="C96" s="30">
        <f>$C$100*AE17</f>
        <v>29.098547509543639</v>
      </c>
      <c r="D96" s="30">
        <f>$D$100*AB17</f>
        <v>0</v>
      </c>
      <c r="E96" s="30">
        <f t="shared" ref="E96:E99" si="69">SUM(B96:D96)</f>
        <v>75.175160267543646</v>
      </c>
      <c r="F96" s="30">
        <f>$F$100*V17</f>
        <v>75.175160267543617</v>
      </c>
      <c r="G96" s="30">
        <f>$G$100*AH17</f>
        <v>156.60710175214703</v>
      </c>
      <c r="H96" s="79" t="s">
        <v>107</v>
      </c>
    </row>
    <row r="97" spans="1:8">
      <c r="A97" t="s">
        <v>3</v>
      </c>
      <c r="B97" s="30">
        <f>$B$100*Y18</f>
        <v>51.145040161380003</v>
      </c>
      <c r="C97" s="30">
        <f>$C$100*AE18</f>
        <v>230.94933108700704</v>
      </c>
      <c r="D97" s="30">
        <f>$D$100*AB18</f>
        <v>1100.3781004797918</v>
      </c>
      <c r="E97" s="30">
        <f t="shared" si="69"/>
        <v>1382.4724717281788</v>
      </c>
      <c r="F97" s="30">
        <f>$F$100*V18</f>
        <v>1382.4724717281783</v>
      </c>
      <c r="G97" s="30">
        <f>$G$100*AH18</f>
        <v>2026.0649267103986</v>
      </c>
      <c r="H97" s="79" t="s">
        <v>107</v>
      </c>
    </row>
    <row r="98" spans="1:8">
      <c r="A98" t="s">
        <v>4</v>
      </c>
      <c r="B98" s="30">
        <f>$B$100*Y19</f>
        <v>24.420604761740002</v>
      </c>
      <c r="C98" s="30">
        <f>$C$100*AE19</f>
        <v>0</v>
      </c>
      <c r="D98" s="30">
        <f>$D$100*AB19</f>
        <v>57.914636867357395</v>
      </c>
      <c r="E98" s="30">
        <f t="shared" si="69"/>
        <v>82.335241629097396</v>
      </c>
      <c r="F98" s="30">
        <f>$F$100*V19</f>
        <v>170.2719299829391</v>
      </c>
      <c r="G98" s="30">
        <f>$G$100*AH19</f>
        <v>170.27192998293916</v>
      </c>
      <c r="H98" s="79"/>
    </row>
    <row r="99" spans="1:8">
      <c r="A99" t="s">
        <v>5</v>
      </c>
      <c r="B99" s="30">
        <f>$B$100*Y20</f>
        <v>70.727600583529991</v>
      </c>
      <c r="C99" s="30">
        <f>$C$100*AE20</f>
        <v>0</v>
      </c>
      <c r="D99" s="30">
        <f>$D$100*AB20</f>
        <v>0</v>
      </c>
      <c r="E99" s="30">
        <f t="shared" si="69"/>
        <v>70.727600583529991</v>
      </c>
      <c r="F99" s="30">
        <f>$F$100*V20</f>
        <v>31.957352458347678</v>
      </c>
      <c r="G99">
        <f>$G$100*AH20</f>
        <v>0</v>
      </c>
      <c r="H99" s="79" t="s">
        <v>108</v>
      </c>
    </row>
    <row r="100" spans="1:8">
      <c r="A100" s="1" t="s">
        <v>71</v>
      </c>
      <c r="B100" s="30">
        <f>E20</f>
        <v>1151.91531895</v>
      </c>
      <c r="C100" s="30">
        <f>L37</f>
        <v>260.04787859655067</v>
      </c>
      <c r="D100" s="30">
        <f>E42</f>
        <v>1158.2927373471493</v>
      </c>
      <c r="E100" s="30">
        <f>SUM(B100:D100)</f>
        <v>2570.2559348937002</v>
      </c>
      <c r="F100" s="30">
        <f>E32</f>
        <v>2619.422375122359</v>
      </c>
      <c r="G100" s="30">
        <f>L75</f>
        <v>3305.4845747081508</v>
      </c>
      <c r="H100" s="76"/>
    </row>
    <row r="102" spans="1:8">
      <c r="B102" t="s">
        <v>120</v>
      </c>
      <c r="E102" s="43"/>
    </row>
    <row r="103" spans="1:8">
      <c r="A103" s="57" t="s">
        <v>119</v>
      </c>
      <c r="B103" t="s">
        <v>116</v>
      </c>
      <c r="C103" t="s">
        <v>117</v>
      </c>
      <c r="D103" s="1"/>
      <c r="G103" s="57"/>
    </row>
    <row r="104" spans="1:8">
      <c r="A104" s="57" t="s">
        <v>118</v>
      </c>
      <c r="B104">
        <f>B15/B19</f>
        <v>36.219483388869655</v>
      </c>
      <c r="C104" s="1">
        <f>I24/I28</f>
        <v>80.160493827160522</v>
      </c>
      <c r="D104" t="s">
        <v>122</v>
      </c>
      <c r="E104" s="76" t="s">
        <v>123</v>
      </c>
    </row>
    <row r="105" spans="1:8">
      <c r="A105" s="1" t="s">
        <v>121</v>
      </c>
      <c r="B105">
        <f>B15/B18</f>
        <v>45.822111963404616</v>
      </c>
      <c r="C105">
        <f>I24/I27</f>
        <v>6.5718623481781391</v>
      </c>
    </row>
    <row r="106" spans="1:8">
      <c r="A106" s="1"/>
    </row>
    <row r="107" spans="1:8">
      <c r="A107" s="1"/>
    </row>
    <row r="108" spans="1:8">
      <c r="A108" s="1"/>
    </row>
    <row r="109" spans="1:8">
      <c r="A109" s="1"/>
      <c r="C109" s="30"/>
    </row>
    <row r="110" spans="1:8">
      <c r="A110" s="1"/>
    </row>
    <row r="111" spans="1:8">
      <c r="A111" s="1"/>
    </row>
    <row r="112" spans="1:8">
      <c r="A112" s="1"/>
    </row>
    <row r="113" spans="1:4">
      <c r="A113" s="1"/>
      <c r="B113" s="30"/>
      <c r="C113" s="30"/>
      <c r="D113" s="3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50"/>
  <sheetViews>
    <sheetView workbookViewId="0">
      <selection activeCell="W11" sqref="W11"/>
    </sheetView>
  </sheetViews>
  <sheetFormatPr defaultRowHeight="15"/>
  <sheetData>
    <row r="1" spans="1:24">
      <c r="A1" s="1"/>
      <c r="D1" s="1"/>
    </row>
    <row r="2" spans="1:24">
      <c r="A2" s="1" t="s">
        <v>1</v>
      </c>
      <c r="D2" s="1" t="s">
        <v>6</v>
      </c>
      <c r="J2" s="1" t="s">
        <v>27</v>
      </c>
      <c r="K2" s="1"/>
      <c r="L2" s="1"/>
      <c r="M2" s="1"/>
      <c r="N2" s="1"/>
      <c r="O2" s="1"/>
      <c r="P2" s="1"/>
      <c r="Q2" s="1"/>
      <c r="R2" s="1"/>
      <c r="S2" s="1"/>
    </row>
    <row r="3" spans="1:24">
      <c r="A3" s="1" t="s">
        <v>0</v>
      </c>
      <c r="B3">
        <v>12.010999999999999</v>
      </c>
      <c r="D3" s="1" t="s">
        <v>7</v>
      </c>
      <c r="E3">
        <v>28.009999999999998</v>
      </c>
      <c r="J3" s="1" t="s">
        <v>26</v>
      </c>
      <c r="K3" s="1"/>
      <c r="L3" s="1"/>
      <c r="M3" s="1"/>
      <c r="N3" s="1" t="s">
        <v>29</v>
      </c>
      <c r="O3" s="1"/>
      <c r="P3" s="1"/>
      <c r="Q3" s="1" t="s">
        <v>69</v>
      </c>
      <c r="R3" s="1"/>
      <c r="S3" s="1"/>
    </row>
    <row r="4" spans="1:24">
      <c r="A4" s="1" t="s">
        <v>2</v>
      </c>
      <c r="B4">
        <v>1.0079</v>
      </c>
      <c r="D4" s="1" t="s">
        <v>8</v>
      </c>
      <c r="E4">
        <v>44.009</v>
      </c>
      <c r="I4" s="1"/>
      <c r="J4" s="49" t="s">
        <v>76</v>
      </c>
      <c r="K4" s="50" t="s">
        <v>25</v>
      </c>
      <c r="L4" s="1"/>
      <c r="M4" s="1"/>
      <c r="N4" s="49" t="s">
        <v>77</v>
      </c>
      <c r="O4" s="50" t="s">
        <v>25</v>
      </c>
      <c r="P4" s="1"/>
      <c r="Q4" s="1"/>
      <c r="R4" s="1" t="s">
        <v>28</v>
      </c>
      <c r="S4" s="1" t="s">
        <v>85</v>
      </c>
    </row>
    <row r="5" spans="1:24">
      <c r="A5" s="1" t="s">
        <v>3</v>
      </c>
      <c r="B5">
        <v>15.999000000000001</v>
      </c>
      <c r="D5" s="1" t="s">
        <v>9</v>
      </c>
      <c r="E5">
        <v>16.0426</v>
      </c>
      <c r="I5" s="1" t="s">
        <v>7</v>
      </c>
      <c r="J5" s="48">
        <v>0.27860000000000001</v>
      </c>
      <c r="K5" s="51">
        <f>(E3*J5)/(($E$3*$J$5)+($E$4*$J$6)+($E$5*$J$7)+($E$6*$J$8)+($E$7*$J$9)+($E$8*$J$10)+($J$11*$E$9)+($E$10*$J$12))</f>
        <v>0.71725499868696041</v>
      </c>
      <c r="M5" t="s">
        <v>7</v>
      </c>
      <c r="N5" s="48">
        <v>0.62630000000000008</v>
      </c>
      <c r="O5" s="51">
        <f>(E3*N5)/(($E$3*$N$5)+($E$4*$N$6)+($E$5*$N$7)+($E$6*$N$8)+($E$7*$N$9)+($E$8*$N$10)+($N$11*$E$9)+($E$10*$N$12))</f>
        <v>0.82400713647572066</v>
      </c>
      <c r="Q5" t="s">
        <v>61</v>
      </c>
      <c r="R5">
        <v>0.94329250138233189</v>
      </c>
      <c r="S5">
        <v>0.95000000000000007</v>
      </c>
    </row>
    <row r="6" spans="1:24">
      <c r="A6" s="1" t="s">
        <v>4</v>
      </c>
      <c r="B6">
        <v>14.007</v>
      </c>
      <c r="D6" s="1" t="s">
        <v>10</v>
      </c>
      <c r="E6">
        <v>2.0158</v>
      </c>
      <c r="I6" s="1" t="s">
        <v>8</v>
      </c>
      <c r="J6" s="48">
        <v>3.5200000000000002E-2</v>
      </c>
      <c r="K6" s="51">
        <f t="shared" ref="K6:K12" si="0">(E4*J6)/(($E$3*$J$5)+($E$4*$J$6)+($E$5*$J$7)+($E$6*$J$8)+($E$7*$J$9)+($E$8*$J$10)+($J$11*$E$9)+($E$10*$J$12))</f>
        <v>0.14238476622798141</v>
      </c>
      <c r="M6" t="s">
        <v>8</v>
      </c>
      <c r="N6" s="48">
        <v>2.1700000000000001E-2</v>
      </c>
      <c r="O6" s="51">
        <f t="shared" ref="O6:O12" si="1">(E4*N6)/(($E$3*$N$5)+($E$4*$N$6)+($E$5*$N$7)+($E$6*$N$8)+($E$7*$N$9)+($E$8*$N$10)+($N$11*$E$9)+($E$10*$N$12))</f>
        <v>4.4857667419180985E-2</v>
      </c>
      <c r="Q6" t="s">
        <v>11</v>
      </c>
      <c r="R6">
        <v>5.6707498617668085E-2</v>
      </c>
      <c r="S6">
        <v>4.9999999999999899E-2</v>
      </c>
    </row>
    <row r="7" spans="1:24">
      <c r="A7" s="1" t="s">
        <v>5</v>
      </c>
      <c r="B7">
        <v>32.066000000000003</v>
      </c>
      <c r="D7" s="1" t="s">
        <v>11</v>
      </c>
      <c r="E7">
        <v>28.013999999999999</v>
      </c>
      <c r="I7" s="1" t="s">
        <v>9</v>
      </c>
      <c r="J7" s="48">
        <v>2.0999999999999999E-3</v>
      </c>
      <c r="K7" s="51">
        <f t="shared" si="0"/>
        <v>3.0965165999406433E-3</v>
      </c>
      <c r="M7" t="s">
        <v>9</v>
      </c>
      <c r="N7" s="48">
        <v>8.9999999999999998E-4</v>
      </c>
      <c r="O7" s="51">
        <f t="shared" si="1"/>
        <v>6.7819208513911797E-4</v>
      </c>
    </row>
    <row r="8" spans="1:24">
      <c r="D8" s="1" t="s">
        <v>22</v>
      </c>
      <c r="E8">
        <v>18.014800000000001</v>
      </c>
      <c r="I8" s="1" t="s">
        <v>10</v>
      </c>
      <c r="J8" s="48">
        <v>0.67969999999999997</v>
      </c>
      <c r="K8" s="51">
        <f t="shared" si="0"/>
        <v>0.12593431188331272</v>
      </c>
      <c r="M8" t="s">
        <v>10</v>
      </c>
      <c r="N8" s="48">
        <v>0.26140000000000002</v>
      </c>
      <c r="O8" s="51">
        <f t="shared" si="1"/>
        <v>2.4750756444674782E-2</v>
      </c>
    </row>
    <row r="9" spans="1:24">
      <c r="D9" s="1" t="s">
        <v>23</v>
      </c>
      <c r="E9">
        <v>34.081800000000001</v>
      </c>
      <c r="I9" s="1" t="s">
        <v>11</v>
      </c>
      <c r="J9" s="48">
        <v>4.4000000000000003E-3</v>
      </c>
      <c r="K9" s="51">
        <f t="shared" si="0"/>
        <v>1.1329406601804945E-2</v>
      </c>
      <c r="M9" t="s">
        <v>11</v>
      </c>
      <c r="N9" s="48">
        <v>4.9400000000000006E-2</v>
      </c>
      <c r="O9" s="51">
        <f t="shared" si="1"/>
        <v>6.5003617438743666E-2</v>
      </c>
    </row>
    <row r="10" spans="1:24">
      <c r="D10" s="1" t="s">
        <v>24</v>
      </c>
      <c r="E10">
        <v>60.076000000000001</v>
      </c>
      <c r="I10" s="1" t="s">
        <v>22</v>
      </c>
      <c r="J10" s="48">
        <v>0</v>
      </c>
      <c r="K10" s="51">
        <f t="shared" si="0"/>
        <v>0</v>
      </c>
      <c r="M10" t="s">
        <v>22</v>
      </c>
      <c r="N10" s="48">
        <v>3.2199999999999999E-2</v>
      </c>
      <c r="O10" s="51">
        <f t="shared" si="1"/>
        <v>2.7247130332623194E-2</v>
      </c>
    </row>
    <row r="11" spans="1:24">
      <c r="D11" s="1"/>
      <c r="I11" s="1" t="s">
        <v>23</v>
      </c>
      <c r="J11" s="48">
        <v>0</v>
      </c>
      <c r="K11" s="51">
        <f t="shared" si="0"/>
        <v>0</v>
      </c>
      <c r="M11" t="s">
        <v>23</v>
      </c>
      <c r="N11" s="48">
        <v>7.7000000000000002E-3</v>
      </c>
      <c r="O11" s="51">
        <f t="shared" si="1"/>
        <v>1.232675321097625E-2</v>
      </c>
    </row>
    <row r="12" spans="1:24">
      <c r="A12" t="s">
        <v>90</v>
      </c>
      <c r="I12" s="1" t="s">
        <v>24</v>
      </c>
      <c r="J12" s="48">
        <v>0</v>
      </c>
      <c r="K12" s="51">
        <f t="shared" si="0"/>
        <v>0</v>
      </c>
      <c r="M12" t="s">
        <v>24</v>
      </c>
      <c r="N12" s="48">
        <v>4.0000000000000002E-4</v>
      </c>
      <c r="O12" s="51">
        <f t="shared" si="1"/>
        <v>1.1287465929412288E-3</v>
      </c>
    </row>
    <row r="13" spans="1:24">
      <c r="I13" s="1" t="s">
        <v>14</v>
      </c>
      <c r="J13" s="48">
        <f>SUM(J5:J12)</f>
        <v>1</v>
      </c>
      <c r="K13" s="48">
        <f>SUM(K5:K12)</f>
        <v>1.0000000000000002</v>
      </c>
      <c r="M13" t="s">
        <v>14</v>
      </c>
      <c r="N13" s="48">
        <v>1.0000000000000002</v>
      </c>
      <c r="O13" s="48">
        <f>SUM(O5:O12)</f>
        <v>0.99999999999999967</v>
      </c>
    </row>
    <row r="14" spans="1:24">
      <c r="I14" s="1"/>
      <c r="J14" s="1" t="s">
        <v>33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I15" s="1"/>
      <c r="J15" s="1" t="s">
        <v>26</v>
      </c>
      <c r="K15" s="1"/>
      <c r="L15" s="1"/>
      <c r="M15" s="1"/>
      <c r="N15" s="1" t="s">
        <v>29</v>
      </c>
      <c r="O15" s="1"/>
      <c r="P15" s="1"/>
      <c r="Q15" s="1" t="s">
        <v>32</v>
      </c>
      <c r="R15" s="1"/>
      <c r="S15" s="1"/>
      <c r="T15" s="1" t="s">
        <v>69</v>
      </c>
      <c r="U15" s="1"/>
      <c r="V15" s="1"/>
      <c r="W15" s="1" t="s">
        <v>52</v>
      </c>
      <c r="X15" s="1"/>
    </row>
    <row r="16" spans="1:24">
      <c r="I16" s="1"/>
      <c r="J16" s="1" t="s">
        <v>28</v>
      </c>
      <c r="K16" s="1" t="s">
        <v>25</v>
      </c>
      <c r="L16" s="1"/>
      <c r="M16" s="1"/>
      <c r="N16" s="1" t="s">
        <v>28</v>
      </c>
      <c r="O16" s="1" t="s">
        <v>25</v>
      </c>
      <c r="P16" s="1"/>
      <c r="Q16" s="50" t="s">
        <v>28</v>
      </c>
      <c r="R16" s="49" t="s">
        <v>85</v>
      </c>
      <c r="S16" s="1"/>
      <c r="T16" s="1" t="s">
        <v>28</v>
      </c>
      <c r="U16" s="1" t="s">
        <v>25</v>
      </c>
      <c r="V16" s="1"/>
      <c r="W16" s="1" t="s">
        <v>28</v>
      </c>
      <c r="X16" s="1" t="s">
        <v>25</v>
      </c>
    </row>
    <row r="17" spans="1:25">
      <c r="I17" s="1" t="s">
        <v>0</v>
      </c>
      <c r="J17" s="29">
        <f>O28/$O$33</f>
        <v>0.15473916238060251</v>
      </c>
      <c r="K17" s="29">
        <f>P28/$P$33</f>
        <v>0.34874513312436944</v>
      </c>
      <c r="N17" s="52">
        <f>F28/$F$33</f>
        <v>0.31447667942073915</v>
      </c>
      <c r="O17" s="52">
        <f>G28/$G$33</f>
        <v>0.36631948699778794</v>
      </c>
      <c r="Q17" s="51">
        <f>(R17/B3)/(($R$17/$B$3)+($R$18/$B$4)+($R$19/$B$5)+($R$20/$B$6)+($R$21/$B$7))</f>
        <v>0.60179836601989978</v>
      </c>
      <c r="R17" s="48">
        <v>0.83299999999999996</v>
      </c>
      <c r="T17">
        <v>0</v>
      </c>
      <c r="U17">
        <v>0</v>
      </c>
      <c r="W17">
        <v>0</v>
      </c>
      <c r="X17">
        <v>0</v>
      </c>
    </row>
    <row r="18" spans="1:25">
      <c r="I18" s="1" t="s">
        <v>2</v>
      </c>
      <c r="J18" s="29">
        <f t="shared" ref="J18:J21" si="2">O29/$O$33</f>
        <v>0.66999755082047507</v>
      </c>
      <c r="K18" s="29">
        <f t="shared" ref="K18:K21" si="3">P29/$P$33</f>
        <v>0.12671248476827651</v>
      </c>
      <c r="N18" s="52">
        <f>F29/$F$33</f>
        <v>0.29360197607400584</v>
      </c>
      <c r="O18" s="52">
        <f>G29/$G$33</f>
        <v>2.8699136489598025E-2</v>
      </c>
      <c r="Q18" s="51">
        <f t="shared" ref="Q18:Q21" si="4">(R18/B4)/(($R$17/$B$3)+($R$18/$B$4)+($R$19/$B$5)+($R$20/$B$6)+($R$21/$B$7))</f>
        <v>0.34437190727538242</v>
      </c>
      <c r="R18" s="48">
        <v>0.04</v>
      </c>
      <c r="T18">
        <v>0</v>
      </c>
      <c r="U18">
        <v>0</v>
      </c>
      <c r="W18">
        <v>0.66666666666666663</v>
      </c>
      <c r="X18">
        <v>0.11189688478362234</v>
      </c>
    </row>
    <row r="19" spans="1:25">
      <c r="I19" s="1" t="s">
        <v>3</v>
      </c>
      <c r="J19" s="29">
        <f>O30/$O$33</f>
        <v>0.17095273083517024</v>
      </c>
      <c r="K19" s="29">
        <f>P30/$P$33</f>
        <v>0.5132129755055489</v>
      </c>
      <c r="N19" s="52">
        <f>F30/$F$33</f>
        <v>0.34014626822298644</v>
      </c>
      <c r="O19" s="52">
        <f>G30/$G$33</f>
        <v>0.52777760656625683</v>
      </c>
      <c r="Q19" s="51">
        <f t="shared" si="4"/>
        <v>2.4081043460877073E-2</v>
      </c>
      <c r="R19" s="48">
        <v>4.4400000000000002E-2</v>
      </c>
      <c r="T19">
        <v>0.94329250138233189</v>
      </c>
      <c r="U19">
        <v>0.95000000000000029</v>
      </c>
      <c r="W19">
        <v>0.33333333333333331</v>
      </c>
      <c r="X19">
        <v>0.88810311521637764</v>
      </c>
    </row>
    <row r="20" spans="1:25">
      <c r="I20" s="1" t="s">
        <v>4</v>
      </c>
      <c r="J20" s="29">
        <f t="shared" si="2"/>
        <v>4.310555963752143E-3</v>
      </c>
      <c r="K20" s="29">
        <f t="shared" si="3"/>
        <v>1.1329406601804939E-2</v>
      </c>
      <c r="N20" s="52">
        <f>F31/$F$33</f>
        <v>4.7851988182302511E-2</v>
      </c>
      <c r="O20" s="52">
        <f>G31/$G$33</f>
        <v>6.5003617438743652E-2</v>
      </c>
      <c r="Q20" s="51">
        <f t="shared" si="4"/>
        <v>1.3133361607176033E-2</v>
      </c>
      <c r="R20" s="48">
        <v>2.12E-2</v>
      </c>
      <c r="T20">
        <v>5.6707498617668085E-2</v>
      </c>
      <c r="U20">
        <v>4.9999999999999795E-2</v>
      </c>
      <c r="W20">
        <v>0</v>
      </c>
      <c r="X20">
        <v>0</v>
      </c>
    </row>
    <row r="21" spans="1:25">
      <c r="I21" s="1" t="s">
        <v>5</v>
      </c>
      <c r="J21" s="29">
        <f t="shared" si="2"/>
        <v>0</v>
      </c>
      <c r="K21" s="29">
        <f t="shared" si="3"/>
        <v>0</v>
      </c>
      <c r="N21" s="52">
        <f>F32/$F$33</f>
        <v>3.9230880999660961E-3</v>
      </c>
      <c r="O21" s="52">
        <f>G32/$G$33</f>
        <v>1.2200152507613393E-2</v>
      </c>
      <c r="Q21" s="51">
        <f t="shared" si="4"/>
        <v>1.6615321636664591E-2</v>
      </c>
      <c r="R21" s="48">
        <v>6.1399999999999996E-2</v>
      </c>
      <c r="T21">
        <v>0</v>
      </c>
      <c r="U21">
        <v>0</v>
      </c>
      <c r="W21">
        <v>0</v>
      </c>
      <c r="X21">
        <v>0</v>
      </c>
    </row>
    <row r="22" spans="1:25">
      <c r="A22" t="s">
        <v>78</v>
      </c>
      <c r="I22" s="1" t="s">
        <v>14</v>
      </c>
      <c r="J22" s="29">
        <v>1</v>
      </c>
      <c r="K22" s="29">
        <v>1</v>
      </c>
      <c r="N22" s="52">
        <v>1</v>
      </c>
      <c r="O22" s="52">
        <v>1.0000000000000002</v>
      </c>
      <c r="Q22" s="48">
        <v>0.99999999999999978</v>
      </c>
      <c r="R22" s="48">
        <v>1</v>
      </c>
      <c r="T22">
        <v>1</v>
      </c>
      <c r="U22">
        <v>1</v>
      </c>
    </row>
    <row r="23" spans="1:25">
      <c r="A23">
        <v>100</v>
      </c>
      <c r="B23" t="s">
        <v>79</v>
      </c>
      <c r="I23" s="1"/>
    </row>
    <row r="24" spans="1:25">
      <c r="I24" s="1"/>
      <c r="S24" s="43"/>
      <c r="T24" s="43"/>
      <c r="U24" s="43"/>
      <c r="V24" s="43"/>
      <c r="W24" s="43"/>
      <c r="X24" s="43"/>
      <c r="Y24" s="43"/>
    </row>
    <row r="25" spans="1:25">
      <c r="C25" s="1" t="s">
        <v>29</v>
      </c>
      <c r="L25" s="1" t="s">
        <v>84</v>
      </c>
      <c r="S25" s="43"/>
      <c r="T25" s="43"/>
      <c r="U25" s="54"/>
      <c r="V25" s="43"/>
      <c r="W25" s="43"/>
      <c r="X25" s="43"/>
      <c r="Y25" s="43"/>
    </row>
    <row r="26" spans="1:25">
      <c r="A26" s="1" t="s">
        <v>82</v>
      </c>
      <c r="E26" s="53" t="s">
        <v>83</v>
      </c>
      <c r="F26" s="52"/>
      <c r="G26" s="52"/>
      <c r="J26" s="1" t="s">
        <v>82</v>
      </c>
      <c r="N26" s="7" t="s">
        <v>83</v>
      </c>
      <c r="O26" s="29"/>
      <c r="P26" s="29"/>
      <c r="S26" s="54"/>
      <c r="T26" s="43"/>
      <c r="U26" s="43"/>
      <c r="V26" s="43"/>
      <c r="W26" s="54"/>
      <c r="X26" s="43"/>
      <c r="Y26" s="43"/>
    </row>
    <row r="27" spans="1:25">
      <c r="B27" t="s">
        <v>87</v>
      </c>
      <c r="C27" t="s">
        <v>81</v>
      </c>
      <c r="E27" s="52"/>
      <c r="F27" s="52" t="s">
        <v>80</v>
      </c>
      <c r="G27" s="52" t="s">
        <v>81</v>
      </c>
      <c r="K27" t="s">
        <v>88</v>
      </c>
      <c r="L27" t="s">
        <v>81</v>
      </c>
      <c r="N27" s="29"/>
      <c r="O27" s="29" t="s">
        <v>80</v>
      </c>
      <c r="P27" s="29" t="s">
        <v>81</v>
      </c>
      <c r="S27" s="43"/>
      <c r="T27" s="43"/>
      <c r="U27" s="43"/>
      <c r="V27" s="43"/>
      <c r="W27" s="43"/>
      <c r="X27" s="43"/>
      <c r="Y27" s="43"/>
    </row>
    <row r="28" spans="1:25">
      <c r="A28" s="1" t="s">
        <v>7</v>
      </c>
      <c r="B28">
        <f t="shared" ref="B28:B35" si="5">$A$23*N5</f>
        <v>62.63000000000001</v>
      </c>
      <c r="C28">
        <f t="shared" ref="C28:C35" si="6">B28*E3</f>
        <v>1754.2663000000002</v>
      </c>
      <c r="E28" s="53" t="s">
        <v>0</v>
      </c>
      <c r="F28" s="52">
        <f>B28+B29+B30+B35</f>
        <v>64.930000000000021</v>
      </c>
      <c r="G28" s="52">
        <f>F28*B3</f>
        <v>779.87423000000024</v>
      </c>
      <c r="J28" s="1" t="s">
        <v>7</v>
      </c>
      <c r="K28">
        <f>$A$23*J5</f>
        <v>27.860000000000003</v>
      </c>
      <c r="L28">
        <f>K28*E3</f>
        <v>780.35860000000002</v>
      </c>
      <c r="N28" s="7" t="s">
        <v>0</v>
      </c>
      <c r="O28" s="29">
        <f>K28+K29+K30+K35</f>
        <v>31.590000000000003</v>
      </c>
      <c r="P28" s="29">
        <f>O28*B3</f>
        <v>379.42749000000003</v>
      </c>
      <c r="S28" s="43"/>
      <c r="T28" s="43"/>
      <c r="U28" s="43"/>
      <c r="V28" s="43"/>
      <c r="W28" s="43"/>
      <c r="X28" s="43"/>
      <c r="Y28" s="43"/>
    </row>
    <row r="29" spans="1:25">
      <c r="A29" s="1" t="s">
        <v>8</v>
      </c>
      <c r="B29">
        <f t="shared" si="5"/>
        <v>2.17</v>
      </c>
      <c r="C29">
        <f t="shared" si="6"/>
        <v>95.499529999999993</v>
      </c>
      <c r="E29" s="53" t="s">
        <v>2</v>
      </c>
      <c r="F29" s="52">
        <f>(4*B30)+(2*B31)+(2*B33)+(2*B34)</f>
        <v>60.62</v>
      </c>
      <c r="G29" s="52">
        <f>F29*B4</f>
        <v>61.098897999999998</v>
      </c>
      <c r="J29" s="1" t="s">
        <v>8</v>
      </c>
      <c r="K29">
        <f t="shared" ref="K29:K35" si="7">$A$23*J6</f>
        <v>3.52</v>
      </c>
      <c r="L29">
        <f t="shared" ref="L29:L35" si="8">K29*E4</f>
        <v>154.91167999999999</v>
      </c>
      <c r="N29" s="7" t="s">
        <v>2</v>
      </c>
      <c r="O29" s="29">
        <f>(4*K30)+(2*K31)+(2*K33)+(2*K34)</f>
        <v>136.78</v>
      </c>
      <c r="P29" s="29">
        <f>O29*B4</f>
        <v>137.86056200000002</v>
      </c>
      <c r="S29" s="43"/>
      <c r="T29" s="43"/>
      <c r="U29" s="43"/>
      <c r="V29" s="43"/>
      <c r="W29" s="43"/>
      <c r="X29" s="43"/>
      <c r="Y29" s="43"/>
    </row>
    <row r="30" spans="1:25">
      <c r="A30" s="1" t="s">
        <v>9</v>
      </c>
      <c r="B30">
        <f t="shared" si="5"/>
        <v>0.09</v>
      </c>
      <c r="C30">
        <f t="shared" si="6"/>
        <v>1.4438340000000001</v>
      </c>
      <c r="E30" s="53" t="s">
        <v>3</v>
      </c>
      <c r="F30" s="52">
        <f>B28+(2*B29)+B33+B35</f>
        <v>70.230000000000018</v>
      </c>
      <c r="G30" s="52">
        <f>F30*B5</f>
        <v>1123.6097700000003</v>
      </c>
      <c r="J30" s="1" t="s">
        <v>9</v>
      </c>
      <c r="K30">
        <f t="shared" si="7"/>
        <v>0.21</v>
      </c>
      <c r="L30">
        <f t="shared" si="8"/>
        <v>3.3689459999999998</v>
      </c>
      <c r="N30" s="7" t="s">
        <v>3</v>
      </c>
      <c r="O30" s="29">
        <f>K28+(2*K29)+K33+K35</f>
        <v>34.900000000000006</v>
      </c>
      <c r="P30" s="29">
        <f>O30*B5</f>
        <v>558.3651000000001</v>
      </c>
      <c r="S30" s="43"/>
      <c r="T30" s="43"/>
      <c r="U30" s="43"/>
      <c r="V30" s="43"/>
      <c r="W30" s="43"/>
      <c r="X30" s="43"/>
      <c r="Y30" s="43"/>
    </row>
    <row r="31" spans="1:25">
      <c r="A31" s="1" t="s">
        <v>10</v>
      </c>
      <c r="B31">
        <f t="shared" si="5"/>
        <v>26.14</v>
      </c>
      <c r="C31">
        <f t="shared" si="6"/>
        <v>52.693012000000003</v>
      </c>
      <c r="E31" s="53" t="s">
        <v>4</v>
      </c>
      <c r="F31" s="52">
        <f>2*B32</f>
        <v>9.8800000000000008</v>
      </c>
      <c r="G31" s="52">
        <f>F31*B6</f>
        <v>138.38916</v>
      </c>
      <c r="J31" s="1" t="s">
        <v>10</v>
      </c>
      <c r="K31">
        <f t="shared" si="7"/>
        <v>67.97</v>
      </c>
      <c r="L31">
        <f t="shared" si="8"/>
        <v>137.013926</v>
      </c>
      <c r="N31" s="7" t="s">
        <v>4</v>
      </c>
      <c r="O31" s="29">
        <f>2*K32</f>
        <v>0.88</v>
      </c>
      <c r="P31" s="29">
        <f>O31*B6</f>
        <v>12.32616</v>
      </c>
      <c r="S31" s="54"/>
      <c r="T31" s="43"/>
      <c r="U31" s="43"/>
      <c r="V31" s="43"/>
      <c r="W31" s="43"/>
      <c r="X31" s="43"/>
      <c r="Y31" s="43"/>
    </row>
    <row r="32" spans="1:25">
      <c r="A32" s="1" t="s">
        <v>11</v>
      </c>
      <c r="B32">
        <f t="shared" si="5"/>
        <v>4.9400000000000004</v>
      </c>
      <c r="C32">
        <f t="shared" si="6"/>
        <v>138.38916</v>
      </c>
      <c r="E32" s="53" t="s">
        <v>5</v>
      </c>
      <c r="F32" s="52">
        <f>B34+B35</f>
        <v>0.81</v>
      </c>
      <c r="G32" s="52">
        <f>F32*B7</f>
        <v>25.973460000000003</v>
      </c>
      <c r="J32" s="1" t="s">
        <v>11</v>
      </c>
      <c r="K32">
        <f t="shared" si="7"/>
        <v>0.44</v>
      </c>
      <c r="L32">
        <f t="shared" si="8"/>
        <v>12.32616</v>
      </c>
      <c r="N32" s="7" t="s">
        <v>5</v>
      </c>
      <c r="O32" s="29">
        <f>K34+K35</f>
        <v>0</v>
      </c>
      <c r="P32" s="29">
        <f>O32*B7</f>
        <v>0</v>
      </c>
      <c r="S32" s="1"/>
    </row>
    <row r="33" spans="1:19">
      <c r="A33" s="1" t="s">
        <v>22</v>
      </c>
      <c r="B33">
        <f t="shared" si="5"/>
        <v>3.2199999999999998</v>
      </c>
      <c r="C33">
        <f t="shared" si="6"/>
        <v>58.007655999999997</v>
      </c>
      <c r="E33" s="53" t="s">
        <v>14</v>
      </c>
      <c r="F33" s="52">
        <f>SUM(F28:F32)</f>
        <v>206.47000000000003</v>
      </c>
      <c r="G33" s="52">
        <f>SUM(G28:G32)</f>
        <v>2128.9455180000009</v>
      </c>
      <c r="J33" s="1" t="s">
        <v>22</v>
      </c>
      <c r="K33">
        <f t="shared" si="7"/>
        <v>0</v>
      </c>
      <c r="L33">
        <f t="shared" si="8"/>
        <v>0</v>
      </c>
      <c r="N33" s="7" t="s">
        <v>14</v>
      </c>
      <c r="O33" s="29">
        <f>SUM(O28:O32)</f>
        <v>204.15</v>
      </c>
      <c r="P33" s="29">
        <f>SUM(P28:P32)</f>
        <v>1087.9793120000004</v>
      </c>
      <c r="S33" s="1"/>
    </row>
    <row r="34" spans="1:19">
      <c r="A34" s="1" t="s">
        <v>23</v>
      </c>
      <c r="B34">
        <f t="shared" si="5"/>
        <v>0.77</v>
      </c>
      <c r="C34">
        <f t="shared" si="6"/>
        <v>26.242986000000002</v>
      </c>
      <c r="J34" s="1" t="s">
        <v>23</v>
      </c>
      <c r="K34">
        <f t="shared" si="7"/>
        <v>0</v>
      </c>
      <c r="L34">
        <f t="shared" si="8"/>
        <v>0</v>
      </c>
      <c r="S34" s="1"/>
    </row>
    <row r="35" spans="1:19">
      <c r="A35" s="1" t="s">
        <v>24</v>
      </c>
      <c r="B35">
        <f t="shared" si="5"/>
        <v>0.04</v>
      </c>
      <c r="C35">
        <f t="shared" si="6"/>
        <v>2.4030400000000003</v>
      </c>
      <c r="J35" s="1" t="s">
        <v>24</v>
      </c>
      <c r="K35">
        <f t="shared" si="7"/>
        <v>0</v>
      </c>
      <c r="L35">
        <f t="shared" si="8"/>
        <v>0</v>
      </c>
      <c r="S35" s="1"/>
    </row>
    <row r="36" spans="1:19">
      <c r="A36" s="1" t="s">
        <v>14</v>
      </c>
      <c r="B36">
        <f>SUM(B28:B35)</f>
        <v>100.00000000000001</v>
      </c>
      <c r="C36">
        <f>SUM(C28:C35)</f>
        <v>2128.9455180000004</v>
      </c>
      <c r="J36" s="1" t="s">
        <v>14</v>
      </c>
      <c r="K36">
        <f>SUM(K28:K35)</f>
        <v>100</v>
      </c>
      <c r="L36">
        <f>SUM(L28:L35)</f>
        <v>1087.9793120000002</v>
      </c>
      <c r="S36" s="1"/>
    </row>
    <row r="39" spans="1:19">
      <c r="A39" s="1" t="s">
        <v>91</v>
      </c>
    </row>
    <row r="40" spans="1:19">
      <c r="A40">
        <v>100</v>
      </c>
      <c r="B40" t="s">
        <v>92</v>
      </c>
    </row>
    <row r="42" spans="1:19">
      <c r="C42" s="1" t="s">
        <v>32</v>
      </c>
      <c r="E42" s="43"/>
      <c r="F42" s="43"/>
      <c r="G42" s="43"/>
    </row>
    <row r="43" spans="1:19">
      <c r="A43" s="1" t="s">
        <v>82</v>
      </c>
      <c r="E43" s="54" t="s">
        <v>83</v>
      </c>
      <c r="F43" s="43"/>
      <c r="G43" s="43"/>
      <c r="I43" t="s">
        <v>86</v>
      </c>
    </row>
    <row r="44" spans="1:19">
      <c r="B44" t="s">
        <v>80</v>
      </c>
      <c r="C44" t="s">
        <v>81</v>
      </c>
      <c r="E44" s="43"/>
      <c r="F44" s="43" t="s">
        <v>80</v>
      </c>
      <c r="G44" s="43" t="s">
        <v>89</v>
      </c>
    </row>
    <row r="45" spans="1:19">
      <c r="E45" s="1" t="s">
        <v>0</v>
      </c>
      <c r="F45">
        <f>G45/B3</f>
        <v>6.9353092998085089</v>
      </c>
      <c r="G45">
        <f>$A$40*R17</f>
        <v>83.3</v>
      </c>
      <c r="I45">
        <f>F45/$F$50</f>
        <v>0.60179836601989989</v>
      </c>
    </row>
    <row r="46" spans="1:19">
      <c r="E46" s="1" t="s">
        <v>2</v>
      </c>
      <c r="F46">
        <f>G46/B4</f>
        <v>3.9686476833019149</v>
      </c>
      <c r="G46">
        <f t="shared" ref="G46:G49" si="9">$A$40*R18</f>
        <v>4</v>
      </c>
      <c r="I46">
        <f t="shared" ref="I46:I49" si="10">F46/$F$50</f>
        <v>0.34437190727538242</v>
      </c>
    </row>
    <row r="47" spans="1:19">
      <c r="E47" s="1" t="s">
        <v>3</v>
      </c>
      <c r="F47">
        <f t="shared" ref="F47:F49" si="11">G47/B5</f>
        <v>0.27751734483405216</v>
      </c>
      <c r="G47">
        <f t="shared" si="9"/>
        <v>4.4400000000000004</v>
      </c>
      <c r="I47">
        <f t="shared" si="10"/>
        <v>2.4081043460877079E-2</v>
      </c>
    </row>
    <row r="48" spans="1:19">
      <c r="E48" s="1" t="s">
        <v>4</v>
      </c>
      <c r="F48">
        <f t="shared" si="11"/>
        <v>0.1513528949810809</v>
      </c>
      <c r="G48">
        <f t="shared" si="9"/>
        <v>2.12</v>
      </c>
      <c r="I48">
        <f t="shared" si="10"/>
        <v>1.3133361607176035E-2</v>
      </c>
    </row>
    <row r="49" spans="5:9">
      <c r="E49" s="1" t="s">
        <v>5</v>
      </c>
      <c r="F49">
        <f t="shared" si="11"/>
        <v>0.19148007235077649</v>
      </c>
      <c r="G49">
        <f t="shared" si="9"/>
        <v>6.14</v>
      </c>
      <c r="I49">
        <f t="shared" si="10"/>
        <v>1.6615321636664595E-2</v>
      </c>
    </row>
    <row r="50" spans="5:9">
      <c r="E50" s="1" t="s">
        <v>14</v>
      </c>
      <c r="F50">
        <f>SUM(F45:F49)</f>
        <v>11.524307295276333</v>
      </c>
      <c r="G50">
        <f>SUM(G45:G49)</f>
        <v>100</v>
      </c>
      <c r="I50">
        <f t="shared" ref="I50" si="12">SUM(I45:I49)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1:H20"/>
  <sheetViews>
    <sheetView workbookViewId="0">
      <selection activeCell="C21" sqref="C21"/>
    </sheetView>
  </sheetViews>
  <sheetFormatPr defaultRowHeight="15"/>
  <sheetData>
    <row r="11" spans="2:8">
      <c r="C11" t="s">
        <v>94</v>
      </c>
    </row>
    <row r="12" spans="2:8">
      <c r="C12">
        <v>1</v>
      </c>
      <c r="D12">
        <v>2</v>
      </c>
      <c r="E12">
        <v>3</v>
      </c>
      <c r="F12">
        <v>4</v>
      </c>
      <c r="G12">
        <v>5</v>
      </c>
      <c r="H12">
        <v>6</v>
      </c>
    </row>
    <row r="13" spans="2:8">
      <c r="B13" s="1" t="s">
        <v>7</v>
      </c>
    </row>
    <row r="14" spans="2:8">
      <c r="B14" s="1" t="s">
        <v>8</v>
      </c>
    </row>
    <row r="15" spans="2:8">
      <c r="B15" s="1" t="s">
        <v>9</v>
      </c>
    </row>
    <row r="16" spans="2:8">
      <c r="B16" s="1" t="s">
        <v>10</v>
      </c>
    </row>
    <row r="17" spans="2:2">
      <c r="B17" s="1" t="s">
        <v>11</v>
      </c>
    </row>
    <row r="18" spans="2:2">
      <c r="B18" s="1" t="s">
        <v>22</v>
      </c>
    </row>
    <row r="19" spans="2:2">
      <c r="B19" s="1"/>
    </row>
    <row r="20" spans="2:2">
      <c r="B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Reverse Basis</vt:lpstr>
      <vt:lpstr>Forward Basis</vt:lpstr>
      <vt:lpstr>Basis Fracs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2011-02-10T04:42:11Z</dcterms:created>
  <dcterms:modified xsi:type="dcterms:W3CDTF">2011-02-14T07:01:31Z</dcterms:modified>
</cp:coreProperties>
</file>