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5150" windowHeight="7260" firstSheet="1" activeTab="8"/>
  </bookViews>
  <sheets>
    <sheet name="Equipement List" sheetId="1" r:id="rId1"/>
    <sheet name="Raw Materials" sheetId="4" r:id="rId2"/>
    <sheet name="Utilities" sheetId="5" r:id="rId3"/>
    <sheet name="Economics" sheetId="2" r:id="rId4"/>
    <sheet name="labor" sheetId="6" r:id="rId5"/>
    <sheet name="Graphs" sheetId="7" r:id="rId6"/>
    <sheet name="Catalyst " sheetId="8" r:id="rId7"/>
    <sheet name="Jerry's Sample" sheetId="3" r:id="rId8"/>
    <sheet name="Sheet3" sheetId="9" r:id="rId9"/>
  </sheets>
  <calcPr calcId="1445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Q20" i="8" l="1"/>
  <c r="G8" i="4" l="1"/>
  <c r="G5" i="4"/>
  <c r="G9" i="2" l="1"/>
  <c r="F9" i="2"/>
  <c r="C15" i="9" l="1"/>
  <c r="I23" i="2" l="1"/>
  <c r="J23" i="2"/>
  <c r="K23" i="2"/>
  <c r="L23" i="2" s="1"/>
  <c r="M23" i="2" s="1"/>
  <c r="N23" i="2" s="1"/>
  <c r="O23" i="2" s="1"/>
  <c r="P23" i="2" s="1"/>
  <c r="Q23" i="2" s="1"/>
  <c r="R23" i="2" s="1"/>
  <c r="S23" i="2" s="1"/>
  <c r="T23" i="2" s="1"/>
  <c r="U23" i="2" s="1"/>
  <c r="V23" i="2" s="1"/>
  <c r="H23" i="2"/>
  <c r="E17" i="2"/>
  <c r="D17" i="2"/>
  <c r="C17" i="2"/>
  <c r="F16" i="2"/>
  <c r="F15" i="2"/>
  <c r="E16" i="2"/>
  <c r="C16" i="2"/>
  <c r="D16" i="2"/>
  <c r="E12" i="9"/>
  <c r="C15" i="2"/>
  <c r="D15" i="2"/>
  <c r="E15" i="2"/>
  <c r="B7" i="2"/>
  <c r="C13" i="9"/>
  <c r="C12" i="9"/>
  <c r="F10" i="2"/>
  <c r="F22" i="2" l="1"/>
  <c r="G22" i="2"/>
  <c r="C6" i="4" l="1"/>
  <c r="G6" i="4" s="1"/>
  <c r="C7" i="4"/>
  <c r="G7" i="4" s="1"/>
  <c r="O22" i="8"/>
  <c r="O17" i="8"/>
  <c r="O12" i="8"/>
  <c r="O7" i="8"/>
  <c r="O4" i="8"/>
  <c r="B44" i="3"/>
  <c r="I30" i="8"/>
  <c r="J30" i="8" s="1"/>
  <c r="L22" i="8"/>
  <c r="I22" i="8"/>
  <c r="J22" i="8" s="1"/>
  <c r="M22" i="8" s="1"/>
  <c r="L17" i="8"/>
  <c r="I17" i="8"/>
  <c r="J17" i="8" s="1"/>
  <c r="M17" i="8" s="1"/>
  <c r="L12" i="8"/>
  <c r="I12" i="8"/>
  <c r="J12" i="8" s="1"/>
  <c r="M12" i="8" s="1"/>
  <c r="L7" i="8"/>
  <c r="I7" i="8"/>
  <c r="J7" i="8" s="1"/>
  <c r="M7" i="8" s="1"/>
  <c r="L4" i="8"/>
  <c r="I4" i="8"/>
  <c r="J4" i="8" s="1"/>
  <c r="M4" i="8" s="1"/>
  <c r="G21" i="2" l="1"/>
  <c r="F23" i="2"/>
  <c r="G23" i="2" s="1"/>
  <c r="G4" i="4"/>
  <c r="H9" i="2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B19" i="2" l="1"/>
  <c r="G26" i="2"/>
  <c r="F28" i="2"/>
  <c r="G28" i="2"/>
  <c r="H8" i="4" l="1"/>
  <c r="H5" i="4"/>
  <c r="B9" i="6" l="1"/>
  <c r="B10" i="6" s="1"/>
  <c r="J4" i="5"/>
  <c r="G11" i="2"/>
  <c r="F11" i="2"/>
  <c r="E31" i="2"/>
  <c r="E38" i="2" s="1"/>
  <c r="D31" i="2"/>
  <c r="D38" i="2" s="1"/>
  <c r="C31" i="2"/>
  <c r="C38" i="2" s="1"/>
  <c r="E28" i="2" l="1"/>
  <c r="F21" i="2"/>
  <c r="H22" i="2"/>
  <c r="I22" i="2" s="1"/>
  <c r="J22" i="2" s="1"/>
  <c r="K22" i="2" s="1"/>
  <c r="L22" i="2" s="1"/>
  <c r="M22" i="2" s="1"/>
  <c r="N22" i="2" s="1"/>
  <c r="O22" i="2" s="1"/>
  <c r="P22" i="2" s="1"/>
  <c r="Q22" i="2" s="1"/>
  <c r="R22" i="2" s="1"/>
  <c r="S22" i="2" s="1"/>
  <c r="T22" i="2" s="1"/>
  <c r="U22" i="2" s="1"/>
  <c r="V22" i="2" s="1"/>
  <c r="E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G10" i="2"/>
  <c r="C15" i="3"/>
  <c r="F4" i="6"/>
  <c r="F5" i="6" s="1"/>
  <c r="D11" i="2"/>
  <c r="E11" i="2" s="1"/>
  <c r="E10" i="2"/>
  <c r="H28" i="2" l="1"/>
  <c r="I28" i="2" s="1"/>
  <c r="J28" i="2" s="1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V28" i="2" s="1"/>
  <c r="H21" i="2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H11" i="2"/>
  <c r="I11" i="2" s="1"/>
  <c r="J11" i="2" s="1"/>
  <c r="K11" i="2" s="1"/>
  <c r="L11" i="2" s="1"/>
  <c r="M11" i="2" s="1"/>
  <c r="N11" i="2" s="1"/>
  <c r="O11" i="2" s="1"/>
  <c r="P11" i="2" s="1"/>
  <c r="Q11" i="2" s="1"/>
  <c r="R11" i="2" s="1"/>
  <c r="S11" i="2" s="1"/>
  <c r="T11" i="2" s="1"/>
  <c r="U11" i="2" s="1"/>
  <c r="V11" i="2" s="1"/>
  <c r="H10" i="2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C2" i="7"/>
  <c r="C8" i="7"/>
  <c r="C4" i="7"/>
  <c r="C6" i="7"/>
  <c r="C3" i="7"/>
  <c r="C5" i="7"/>
  <c r="C7" i="7"/>
  <c r="F25" i="2" l="1"/>
  <c r="C10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D15" i="3"/>
  <c r="K19" i="2" l="1"/>
  <c r="O19" i="2"/>
  <c r="S19" i="2"/>
  <c r="G19" i="2"/>
  <c r="H19" i="2"/>
  <c r="L19" i="2"/>
  <c r="P19" i="2"/>
  <c r="T19" i="2"/>
  <c r="F19" i="2"/>
  <c r="I19" i="2"/>
  <c r="M19" i="2"/>
  <c r="Q19" i="2"/>
  <c r="U19" i="2"/>
  <c r="J19" i="2"/>
  <c r="N19" i="2"/>
  <c r="R19" i="2"/>
  <c r="V19" i="2"/>
  <c r="B7" i="6"/>
  <c r="B11" i="6" l="1"/>
  <c r="B12" i="6" s="1"/>
  <c r="G25" i="2" l="1"/>
  <c r="H25" i="2" s="1"/>
  <c r="I25" i="2" s="1"/>
  <c r="J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V36" i="2" l="1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K22" i="1"/>
  <c r="G22" i="1"/>
  <c r="N31" i="1"/>
  <c r="G3" i="4"/>
  <c r="H3" i="4" s="1"/>
  <c r="H4" i="4"/>
  <c r="H6" i="4"/>
  <c r="H7" i="4"/>
  <c r="H9" i="4" l="1"/>
  <c r="G9" i="4"/>
  <c r="K3" i="1"/>
  <c r="G3" i="1"/>
  <c r="G42" i="1" s="1"/>
  <c r="I5" i="1"/>
  <c r="K5" i="1" s="1"/>
  <c r="I30" i="1"/>
  <c r="K4" i="1"/>
  <c r="I28" i="1"/>
  <c r="I8" i="1"/>
  <c r="K8" i="1" s="1"/>
  <c r="F29" i="2" l="1"/>
  <c r="G29" i="2"/>
  <c r="H29" i="2"/>
  <c r="I29" i="2" s="1"/>
  <c r="J29" i="2" s="1"/>
  <c r="K29" i="2" s="1"/>
  <c r="L29" i="2" s="1"/>
  <c r="M29" i="2" s="1"/>
  <c r="C25" i="3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B40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D22" i="3"/>
  <c r="E22" i="3" s="1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D19" i="3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D18" i="3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D17" i="3"/>
  <c r="E16" i="3"/>
  <c r="F16" i="3" s="1"/>
  <c r="G16" i="3" s="1"/>
  <c r="H16" i="3" s="1"/>
  <c r="I16" i="3" s="1"/>
  <c r="J16" i="3" s="1"/>
  <c r="K16" i="3" s="1"/>
  <c r="L16" i="3" s="1"/>
  <c r="M16" i="3" s="1"/>
  <c r="D16" i="3"/>
  <c r="D10" i="3"/>
  <c r="E10" i="3" s="1"/>
  <c r="N29" i="2" l="1"/>
  <c r="O29" i="2" s="1"/>
  <c r="P29" i="2" s="1"/>
  <c r="Q29" i="2" s="1"/>
  <c r="R29" i="2" s="1"/>
  <c r="C29" i="3"/>
  <c r="C31" i="3" s="1"/>
  <c r="C33" i="3" s="1"/>
  <c r="D29" i="3"/>
  <c r="D31" i="3" s="1"/>
  <c r="E29" i="3"/>
  <c r="E31" i="3" s="1"/>
  <c r="I29" i="3"/>
  <c r="N16" i="3"/>
  <c r="O16" i="3" s="1"/>
  <c r="P16" i="3" s="1"/>
  <c r="Q16" i="3" s="1"/>
  <c r="M29" i="3"/>
  <c r="G29" i="3"/>
  <c r="K29" i="3"/>
  <c r="O29" i="3"/>
  <c r="L29" i="3"/>
  <c r="F10" i="3"/>
  <c r="H29" i="3"/>
  <c r="P29" i="3"/>
  <c r="F29" i="3"/>
  <c r="J29" i="3"/>
  <c r="N29" i="3"/>
  <c r="I26" i="1"/>
  <c r="K26" i="1" s="1"/>
  <c r="I27" i="1"/>
  <c r="K27" i="1" s="1"/>
  <c r="K28" i="1"/>
  <c r="O31" i="1"/>
  <c r="K30" i="1"/>
  <c r="I10" i="1"/>
  <c r="K10" i="1" s="1"/>
  <c r="I6" i="1"/>
  <c r="S29" i="2" l="1"/>
  <c r="T29" i="2" s="1"/>
  <c r="U29" i="2" s="1"/>
  <c r="V29" i="2" s="1"/>
  <c r="V31" i="2" s="1"/>
  <c r="V33" i="2" s="1"/>
  <c r="V34" i="2" s="1"/>
  <c r="V35" i="2" s="1"/>
  <c r="V38" i="2" s="1"/>
  <c r="C35" i="3"/>
  <c r="C40" i="3" s="1"/>
  <c r="K6" i="1"/>
  <c r="K43" i="1" s="1"/>
  <c r="D33" i="3"/>
  <c r="D35" i="3"/>
  <c r="D40" i="3" s="1"/>
  <c r="G10" i="3"/>
  <c r="F31" i="3"/>
  <c r="E33" i="3"/>
  <c r="E35" i="3" s="1"/>
  <c r="E40" i="3" s="1"/>
  <c r="C42" i="3"/>
  <c r="R16" i="3"/>
  <c r="Q29" i="3"/>
  <c r="I42" i="1"/>
  <c r="D42" i="3" l="1"/>
  <c r="E42" i="3" s="1"/>
  <c r="K42" i="1"/>
  <c r="G43" i="1"/>
  <c r="G31" i="3"/>
  <c r="H10" i="3"/>
  <c r="F33" i="3"/>
  <c r="F35" i="3" s="1"/>
  <c r="F40" i="3" s="1"/>
  <c r="S16" i="3"/>
  <c r="S29" i="3" s="1"/>
  <c r="R29" i="3"/>
  <c r="H31" i="2" l="1"/>
  <c r="E34" i="2"/>
  <c r="E35" i="2" s="1"/>
  <c r="D34" i="2"/>
  <c r="D35" i="2" s="1"/>
  <c r="I31" i="2"/>
  <c r="C34" i="2"/>
  <c r="C35" i="2" s="1"/>
  <c r="G31" i="2"/>
  <c r="F31" i="2"/>
  <c r="J31" i="2"/>
  <c r="J33" i="2" s="1"/>
  <c r="F49" i="1"/>
  <c r="F48" i="1"/>
  <c r="F42" i="3"/>
  <c r="I10" i="3"/>
  <c r="H31" i="3"/>
  <c r="G33" i="3"/>
  <c r="G35" i="3" s="1"/>
  <c r="G40" i="3" s="1"/>
  <c r="H33" i="2" l="1"/>
  <c r="H34" i="2" s="1"/>
  <c r="H35" i="2" s="1"/>
  <c r="H38" i="2" s="1"/>
  <c r="I33" i="2"/>
  <c r="I34" i="2" s="1"/>
  <c r="I35" i="2" s="1"/>
  <c r="I38" i="2" s="1"/>
  <c r="G33" i="2"/>
  <c r="G34" i="2" s="1"/>
  <c r="G35" i="2" s="1"/>
  <c r="G38" i="2" s="1"/>
  <c r="F33" i="2"/>
  <c r="F34" i="2" s="1"/>
  <c r="F35" i="2" s="1"/>
  <c r="F38" i="2" s="1"/>
  <c r="C39" i="2"/>
  <c r="D39" i="2" s="1"/>
  <c r="E39" i="2" s="1"/>
  <c r="K31" i="2"/>
  <c r="K33" i="2" s="1"/>
  <c r="J34" i="2"/>
  <c r="J35" i="2" s="1"/>
  <c r="J38" i="2" s="1"/>
  <c r="G42" i="3"/>
  <c r="I31" i="3"/>
  <c r="J10" i="3"/>
  <c r="H33" i="3"/>
  <c r="H35" i="3" s="1"/>
  <c r="H40" i="3" s="1"/>
  <c r="F39" i="2" l="1"/>
  <c r="K34" i="2"/>
  <c r="K35" i="2" s="1"/>
  <c r="K38" i="2" s="1"/>
  <c r="L31" i="2"/>
  <c r="L33" i="2" s="1"/>
  <c r="I33" i="3"/>
  <c r="I35" i="3" s="1"/>
  <c r="I40" i="3" s="1"/>
  <c r="H42" i="3"/>
  <c r="K10" i="3"/>
  <c r="J31" i="3"/>
  <c r="G39" i="2" l="1"/>
  <c r="H39" i="2" s="1"/>
  <c r="I39" i="2" s="1"/>
  <c r="J39" i="2" s="1"/>
  <c r="K39" i="2" s="1"/>
  <c r="L34" i="2"/>
  <c r="L35" i="2" s="1"/>
  <c r="L38" i="2" s="1"/>
  <c r="M31" i="2"/>
  <c r="M33" i="2" s="1"/>
  <c r="I42" i="3"/>
  <c r="J33" i="3"/>
  <c r="J35" i="3" s="1"/>
  <c r="J40" i="3" s="1"/>
  <c r="K31" i="3"/>
  <c r="L10" i="3"/>
  <c r="M34" i="2" l="1"/>
  <c r="M35" i="2" s="1"/>
  <c r="M38" i="2" s="1"/>
  <c r="L39" i="2"/>
  <c r="N31" i="2"/>
  <c r="N33" i="2" s="1"/>
  <c r="K33" i="3"/>
  <c r="K35" i="3" s="1"/>
  <c r="K40" i="3" s="1"/>
  <c r="M10" i="3"/>
  <c r="L31" i="3"/>
  <c r="J42" i="3"/>
  <c r="N34" i="2" l="1"/>
  <c r="N35" i="2" s="1"/>
  <c r="N38" i="2" s="1"/>
  <c r="M39" i="2"/>
  <c r="O31" i="2"/>
  <c r="O33" i="2" s="1"/>
  <c r="K42" i="3"/>
  <c r="L33" i="3"/>
  <c r="L35" i="3" s="1"/>
  <c r="L40" i="3" s="1"/>
  <c r="M31" i="3"/>
  <c r="N10" i="3"/>
  <c r="O34" i="2" l="1"/>
  <c r="O35" i="2" s="1"/>
  <c r="O38" i="2" s="1"/>
  <c r="N39" i="2"/>
  <c r="P31" i="2"/>
  <c r="P33" i="2" s="1"/>
  <c r="O10" i="3"/>
  <c r="N31" i="3"/>
  <c r="L42" i="3"/>
  <c r="M33" i="3"/>
  <c r="M35" i="3" s="1"/>
  <c r="M40" i="3" s="1"/>
  <c r="P34" i="2" l="1"/>
  <c r="P35" i="2" s="1"/>
  <c r="P38" i="2" s="1"/>
  <c r="O39" i="2"/>
  <c r="Q31" i="2"/>
  <c r="Q33" i="2" s="1"/>
  <c r="N33" i="3"/>
  <c r="N35" i="3" s="1"/>
  <c r="N40" i="3" s="1"/>
  <c r="M42" i="3"/>
  <c r="O31" i="3"/>
  <c r="P10" i="3"/>
  <c r="Q34" i="2" l="1"/>
  <c r="Q35" i="2" s="1"/>
  <c r="Q38" i="2" s="1"/>
  <c r="P39" i="2"/>
  <c r="R31" i="2"/>
  <c r="R33" i="2" s="1"/>
  <c r="Q10" i="3"/>
  <c r="P31" i="3"/>
  <c r="O33" i="3"/>
  <c r="O35" i="3" s="1"/>
  <c r="O40" i="3" s="1"/>
  <c r="R34" i="2" l="1"/>
  <c r="R35" i="2" s="1"/>
  <c r="R38" i="2" s="1"/>
  <c r="Q39" i="2"/>
  <c r="S31" i="2"/>
  <c r="S33" i="2" s="1"/>
  <c r="P33" i="3"/>
  <c r="P35" i="3" s="1"/>
  <c r="P40" i="3" s="1"/>
  <c r="Q31" i="3"/>
  <c r="R10" i="3"/>
  <c r="R39" i="2" l="1"/>
  <c r="T31" i="2"/>
  <c r="T33" i="2" s="1"/>
  <c r="S34" i="2"/>
  <c r="S35" i="2" s="1"/>
  <c r="S38" i="2" s="1"/>
  <c r="Q33" i="3"/>
  <c r="Q35" i="3" s="1"/>
  <c r="Q40" i="3" s="1"/>
  <c r="S10" i="3"/>
  <c r="S31" i="3" s="1"/>
  <c r="R31" i="3"/>
  <c r="T34" i="2" l="1"/>
  <c r="T35" i="2" s="1"/>
  <c r="T38" i="2" s="1"/>
  <c r="U31" i="2"/>
  <c r="U33" i="2" s="1"/>
  <c r="S39" i="2"/>
  <c r="R33" i="3"/>
  <c r="R35" i="3"/>
  <c r="R40" i="3" s="1"/>
  <c r="S33" i="3"/>
  <c r="S35" i="3" s="1"/>
  <c r="S40" i="3" s="1"/>
  <c r="B45" i="3" l="1"/>
  <c r="U34" i="2"/>
  <c r="U35" i="2" s="1"/>
  <c r="U38" i="2" s="1"/>
  <c r="B41" i="2" s="1"/>
  <c r="T39" i="2"/>
  <c r="U39" i="2" l="1"/>
  <c r="V39" i="2" s="1"/>
  <c r="B42" i="2" s="1"/>
</calcChain>
</file>

<file path=xl/sharedStrings.xml><?xml version="1.0" encoding="utf-8"?>
<sst xmlns="http://schemas.openxmlformats.org/spreadsheetml/2006/main" count="289" uniqueCount="227">
  <si>
    <t>Raw Materials</t>
  </si>
  <si>
    <t>Petcoke (T/D)</t>
  </si>
  <si>
    <t>Ferro-chrome</t>
  </si>
  <si>
    <t>Aluminum oxide</t>
  </si>
  <si>
    <t>Price ($)</t>
  </si>
  <si>
    <t>Total Cost (day)</t>
  </si>
  <si>
    <t>($/mt)</t>
  </si>
  <si>
    <t>($/lbm)</t>
  </si>
  <si>
    <t>Cost ($)/(year)</t>
  </si>
  <si>
    <t>Equipments</t>
  </si>
  <si>
    <t>Gasifier</t>
  </si>
  <si>
    <t>Cooler 1</t>
  </si>
  <si>
    <t>Cooler 2</t>
  </si>
  <si>
    <t>Zinc oxide (lbm/day)</t>
  </si>
  <si>
    <t xml:space="preserve">Utilities </t>
  </si>
  <si>
    <t>($/110 lbm)</t>
  </si>
  <si>
    <t>Heat Duty (MMBTU/hr)</t>
  </si>
  <si>
    <t>Cyclone</t>
  </si>
  <si>
    <t>assuming 4000 gallons of volume and 150 psi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</si>
  <si>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</si>
  <si>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</si>
  <si>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</si>
  <si>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</si>
  <si>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</si>
  <si>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</si>
  <si>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</si>
  <si>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</si>
  <si>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</si>
  <si>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</si>
  <si>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</si>
  <si>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</si>
  <si>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</si>
  <si>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</si>
  <si>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</si>
  <si>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</si>
  <si>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</si>
  <si>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</si>
  <si>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</si>
  <si>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</si>
  <si>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</si>
  <si>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</si>
  <si>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</si>
  <si>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</si>
  <si>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</si>
  <si>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</si>
  <si>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</si>
  <si>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</si>
  <si>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</si>
  <si>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</si>
  <si>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</si>
  <si>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</si>
  <si>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</si>
  <si>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Assuming Installation factor includes direct cost, indirect cost, contingency cost, and a contractor's fee</t>
  </si>
  <si>
    <t xml:space="preserve">10 feet diameter ; 1250 hp </t>
  </si>
  <si>
    <t>Reactor 3 (CP)</t>
  </si>
  <si>
    <t>Reactor 4 (CP)</t>
  </si>
  <si>
    <t>Reactor 5 (CP)</t>
  </si>
  <si>
    <t>Absorber 1</t>
  </si>
  <si>
    <t>Absorber 2</t>
  </si>
  <si>
    <t>Heat exchanger 4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</si>
  <si>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</si>
  <si>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</si>
  <si>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</si>
  <si>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</si>
  <si>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</si>
  <si>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</si>
  <si>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</si>
  <si>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</si>
  <si>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</si>
  <si>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</si>
  <si>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</si>
  <si>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</si>
  <si>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</si>
  <si>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</si>
  <si>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</si>
  <si>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</si>
  <si>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</si>
  <si>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</si>
  <si>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</si>
  <si>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</si>
  <si>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</si>
  <si>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</si>
  <si>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</si>
  <si>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</si>
  <si>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</si>
  <si>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</si>
  <si>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</si>
  <si>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</si>
  <si>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</si>
  <si>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</si>
  <si>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 xml:space="preserve">Total Equipement </t>
  </si>
  <si>
    <t>Volume (Cubic Feet)</t>
  </si>
  <si>
    <t>CO2 Stripper</t>
  </si>
  <si>
    <t>Heat Transfer Area (square feet)</t>
  </si>
  <si>
    <t>Area (square feet)</t>
  </si>
  <si>
    <t>Flash 1</t>
  </si>
  <si>
    <t>Flash 2</t>
  </si>
  <si>
    <t>Flash 3</t>
  </si>
  <si>
    <t>Flash 4</t>
  </si>
  <si>
    <t>Flash 5</t>
  </si>
  <si>
    <t>Heater 1</t>
  </si>
  <si>
    <t>Heater 2</t>
  </si>
  <si>
    <t>Heater 3</t>
  </si>
  <si>
    <t>(Qty)</t>
  </si>
  <si>
    <t>Stripper Cond</t>
  </si>
  <si>
    <t>Stripper Cond Acc</t>
  </si>
  <si>
    <t>Stripper Reboiler</t>
  </si>
  <si>
    <t>Stripper Reflux Pump</t>
  </si>
  <si>
    <t>WGS Reactor</t>
  </si>
  <si>
    <t>Source</t>
  </si>
  <si>
    <t>Aspen</t>
  </si>
  <si>
    <t>KFO</t>
  </si>
  <si>
    <t>Tube Filter</t>
  </si>
  <si>
    <t>Assuming the factor sizing with a residence time of 2.5sec</t>
  </si>
  <si>
    <t>Cost ($)</t>
  </si>
  <si>
    <t>Cost Year</t>
  </si>
  <si>
    <t>Index</t>
  </si>
  <si>
    <t>Total Cost</t>
  </si>
  <si>
    <t>included in caputure plant</t>
  </si>
  <si>
    <t>included in stripper</t>
  </si>
  <si>
    <t xml:space="preserve"> </t>
  </si>
  <si>
    <t>Claus Plant</t>
  </si>
  <si>
    <t xml:space="preserve">NETL </t>
  </si>
  <si>
    <t>Salaries and Fringes (including laboratory cost)</t>
  </si>
  <si>
    <t>interest</t>
  </si>
  <si>
    <t>operating labor cost</t>
  </si>
  <si>
    <t>shifts</t>
  </si>
  <si>
    <t xml:space="preserve">operator per shift </t>
  </si>
  <si>
    <t>additional operators</t>
  </si>
  <si>
    <t>total operators</t>
  </si>
  <si>
    <t>per operator</t>
  </si>
  <si>
    <t>total salary</t>
  </si>
  <si>
    <t>Fringes</t>
  </si>
  <si>
    <t>totoal salaries</t>
  </si>
  <si>
    <t>syngas Price</t>
  </si>
  <si>
    <t>payback period</t>
  </si>
  <si>
    <t>syngas price</t>
  </si>
  <si>
    <t>petcoke price</t>
  </si>
  <si>
    <t>NPV(million $)</t>
  </si>
  <si>
    <t>19 years</t>
  </si>
  <si>
    <t>Equipment cost</t>
  </si>
  <si>
    <t>Engineering cost</t>
  </si>
  <si>
    <t>non-engineering cost</t>
  </si>
  <si>
    <t>selexol</t>
  </si>
  <si>
    <t>2000 ton of CO2 per day at $ 40/ton</t>
  </si>
  <si>
    <t>Total</t>
  </si>
  <si>
    <t>Quantity</t>
  </si>
  <si>
    <t>(ton/day)</t>
  </si>
  <si>
    <t>(lbm/day)</t>
  </si>
  <si>
    <t>oxygen</t>
  </si>
  <si>
    <t>($/ton)</t>
  </si>
  <si>
    <t>Hours per operator</t>
  </si>
  <si>
    <t>salary ($20/hr) per operator</t>
  </si>
  <si>
    <t xml:space="preserve">Natural Gas </t>
  </si>
  <si>
    <t>Utilities:</t>
  </si>
  <si>
    <t xml:space="preserve"> Cash Flow From Operations</t>
  </si>
  <si>
    <t>Bulk Den.</t>
  </si>
  <si>
    <t>Rea:Cat</t>
  </si>
  <si>
    <t>lbmol/hr</t>
  </si>
  <si>
    <t>lb/hr</t>
  </si>
  <si>
    <t>lb/lbmol</t>
  </si>
  <si>
    <t>Resident Time (hr)</t>
  </si>
  <si>
    <t>Total Weight</t>
  </si>
  <si>
    <t>( lb/ft^3)</t>
  </si>
  <si>
    <t>http://www.jmcatalysts.com/ptd/pdfs-uploaded/PURASPEC%202312%20for%20gaseous%20feeds.pdf</t>
  </si>
  <si>
    <t>Alumina</t>
  </si>
  <si>
    <t>Al2O3</t>
  </si>
  <si>
    <t>FerroChrome</t>
  </si>
  <si>
    <t>Fe203 Cr2O3</t>
  </si>
  <si>
    <t>Process</t>
  </si>
  <si>
    <t>Amounts IN</t>
  </si>
  <si>
    <t>COS Hydrolysis</t>
  </si>
  <si>
    <t>#/hr</t>
  </si>
  <si>
    <t>COS</t>
  </si>
  <si>
    <t>Claus- Cat 1</t>
  </si>
  <si>
    <t xml:space="preserve">  S</t>
  </si>
  <si>
    <t xml:space="preserve">  SO2</t>
  </si>
  <si>
    <t xml:space="preserve">  H2S</t>
  </si>
  <si>
    <t>Claus- Cat 2</t>
  </si>
  <si>
    <t>Claus- SuperCls</t>
  </si>
  <si>
    <t>WGS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</si>
  <si>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</si>
  <si>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</si>
  <si>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</si>
  <si>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</si>
  <si>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</si>
  <si>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>H2S - ZnO</t>
  </si>
  <si>
    <t>Zinc Oxide</t>
  </si>
  <si>
    <t>ZnO</t>
  </si>
  <si>
    <t>Unit Op</t>
  </si>
  <si>
    <t>Power (HP)</t>
  </si>
  <si>
    <t>Power (KW)</t>
  </si>
  <si>
    <t>Factor</t>
  </si>
  <si>
    <t>Cost</t>
  </si>
  <si>
    <t>Pump-1</t>
  </si>
  <si>
    <t>$/Kw-Hr</t>
  </si>
  <si>
    <t>Comp-2</t>
  </si>
  <si>
    <t>Comp-1</t>
  </si>
  <si>
    <t>Time Duration</t>
  </si>
  <si>
    <t>Pump-2</t>
  </si>
  <si>
    <t>hr/day</t>
  </si>
  <si>
    <t>Comp-3</t>
  </si>
  <si>
    <t>Comp-4</t>
  </si>
  <si>
    <t>Total Power Used by Plant</t>
  </si>
  <si>
    <t>Kw</t>
  </si>
  <si>
    <t>Conversion</t>
  </si>
  <si>
    <t>Total Energy Used by Plant per Day</t>
  </si>
  <si>
    <t>Total Plant Electricity Cost per Day</t>
  </si>
  <si>
    <t>HP</t>
  </si>
  <si>
    <t>Kw-Hr</t>
  </si>
  <si>
    <t>KW</t>
  </si>
  <si>
    <t>Total Plant Electricity Cost per Year</t>
  </si>
  <si>
    <t>dol per year</t>
  </si>
  <si>
    <t>Total Weight per day</t>
  </si>
  <si>
    <t>toal</t>
  </si>
  <si>
    <t>Engineering Cost</t>
  </si>
  <si>
    <t>Non Engineering cost</t>
  </si>
  <si>
    <t xml:space="preserve">land cost </t>
  </si>
  <si>
    <t>sulfur 100 ton/day at $170/ton</t>
  </si>
  <si>
    <t>carbon CAPTURE</t>
  </si>
  <si>
    <t>gasifier</t>
  </si>
  <si>
    <t>h2S  Removal</t>
  </si>
  <si>
    <t>Clause process</t>
  </si>
  <si>
    <t>super clause process</t>
  </si>
  <si>
    <t>Total Engineering and non-engineering Coat</t>
  </si>
  <si>
    <t xml:space="preserve">2600 ton /day Syn gas  at $300/ton </t>
  </si>
  <si>
    <t>(lbm/hr)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</si>
</sst>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  <numFmt numFmtId="166" formatCode="&quot;$&quot;#,##0"/>
    <numFmt numFmtId="167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6" fontId="0" fillId="0" borderId="0" xfId="0" applyNumberFormat="1"/>
    <xf numFmtId="44" fontId="0" fillId="0" borderId="0" xfId="1" applyFont="1"/>
    <xf numFmtId="44" fontId="0" fillId="2" borderId="0" xfId="1" applyFont="1" applyFill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8" fontId="0" fillId="2" borderId="0" xfId="1" applyNumberFormat="1" applyFont="1" applyFill="1"/>
    <xf numFmtId="4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6" borderId="0" xfId="0" applyFont="1" applyFill="1" applyAlignment="1">
      <alignment wrapText="1"/>
    </xf>
    <xf numFmtId="0" fontId="1" fillId="7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8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right"/>
    </xf>
    <xf numFmtId="0" fontId="0" fillId="5" borderId="0" xfId="0" applyFill="1"/>
    <xf numFmtId="0" fontId="1" fillId="5" borderId="3" xfId="0" applyFont="1" applyFill="1" applyBorder="1"/>
    <xf numFmtId="0" fontId="3" fillId="5" borderId="2" xfId="0" applyFont="1" applyFill="1" applyBorder="1"/>
    <xf numFmtId="0" fontId="0" fillId="0" borderId="0" xfId="0" applyAlignment="1">
      <alignment horizontal="center"/>
    </xf>
    <xf numFmtId="0" fontId="1" fillId="7" borderId="0" xfId="0" applyFont="1" applyFill="1" applyAlignment="1">
      <alignment horizontal="center" wrapText="1"/>
    </xf>
    <xf numFmtId="44" fontId="0" fillId="0" borderId="0" xfId="0" applyNumberFormat="1" applyAlignment="1">
      <alignment horizontal="center"/>
    </xf>
    <xf numFmtId="165" fontId="1" fillId="7" borderId="0" xfId="0" applyNumberFormat="1" applyFont="1" applyFill="1" applyAlignment="1">
      <alignment horizontal="center" wrapText="1"/>
    </xf>
    <xf numFmtId="0" fontId="1" fillId="7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165" fontId="0" fillId="9" borderId="0" xfId="0" applyNumberFormat="1" applyFill="1" applyAlignment="1">
      <alignment horizontal="center"/>
    </xf>
    <xf numFmtId="4" fontId="0" fillId="0" borderId="0" xfId="0" applyNumberFormat="1"/>
    <xf numFmtId="4" fontId="6" fillId="0" borderId="0" xfId="0" applyNumberFormat="1" applyFont="1"/>
    <xf numFmtId="165" fontId="0" fillId="2" borderId="0" xfId="0" applyNumberFormat="1" applyFill="1"/>
    <xf numFmtId="166" fontId="0" fillId="0" borderId="0" xfId="0" applyNumberFormat="1"/>
    <xf numFmtId="0" fontId="0" fillId="0" borderId="0" xfId="0" applyFill="1"/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4" fillId="0" borderId="1" xfId="0" applyFont="1" applyFill="1" applyBorder="1"/>
    <xf numFmtId="6" fontId="0" fillId="0" borderId="1" xfId="0" applyNumberFormat="1" applyFill="1" applyBorder="1"/>
    <xf numFmtId="8" fontId="0" fillId="0" borderId="1" xfId="0" applyNumberFormat="1" applyFill="1" applyBorder="1"/>
    <xf numFmtId="10" fontId="0" fillId="0" borderId="1" xfId="0" applyNumberFormat="1" applyFill="1" applyBorder="1"/>
    <xf numFmtId="9" fontId="0" fillId="0" borderId="1" xfId="0" applyNumberFormat="1" applyFill="1" applyBorder="1"/>
    <xf numFmtId="0" fontId="1" fillId="0" borderId="1" xfId="0" applyFont="1" applyFill="1" applyBorder="1"/>
    <xf numFmtId="44" fontId="0" fillId="0" borderId="0" xfId="0" applyNumberFormat="1"/>
    <xf numFmtId="0" fontId="1" fillId="0" borderId="6" xfId="0" applyFont="1" applyFill="1" applyBorder="1"/>
    <xf numFmtId="0" fontId="0" fillId="0" borderId="6" xfId="0" applyFill="1" applyBorder="1"/>
    <xf numFmtId="0" fontId="1" fillId="0" borderId="0" xfId="0" applyFont="1" applyFill="1"/>
    <xf numFmtId="167" fontId="0" fillId="0" borderId="1" xfId="1" applyNumberFormat="1" applyFont="1" applyFill="1" applyBorder="1"/>
    <xf numFmtId="167" fontId="0" fillId="0" borderId="1" xfId="1" applyNumberFormat="1" applyFont="1" applyBorder="1" applyAlignment="1">
      <alignment wrapText="1"/>
    </xf>
    <xf numFmtId="0" fontId="1" fillId="6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  <xf numFmtId="167" fontId="0" fillId="0" borderId="1" xfId="1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167" fontId="0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4" fontId="0" fillId="0" borderId="1" xfId="1" applyNumberFormat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/>
    </xf>
    <xf numFmtId="44" fontId="10" fillId="0" borderId="0" xfId="1" applyFont="1"/>
    <xf numFmtId="165" fontId="1" fillId="0" borderId="1" xfId="0" applyNumberFormat="1" applyFont="1" applyFill="1" applyBorder="1" applyAlignment="1">
      <alignment horizontal="center" vertical="center" wrapText="1"/>
    </xf>
    <xf numFmtId="11" fontId="0" fillId="0" borderId="1" xfId="0" applyNumberFormat="1" applyBorder="1" applyAlignment="1">
      <alignment horizontal="left" wrapText="1"/>
    </xf>
    <xf numFmtId="0" fontId="1" fillId="7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/>
    </xf>
    <xf numFmtId="0" fontId="1" fillId="6" borderId="4" xfId="0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IRR vs. Syngas Price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Graphs!$D$2:$D$8</c:f>
              <c:numCache>
                <c:formatCode>0.00%</c:formatCode>
                <c:ptCount val="7"/>
                <c:pt idx="0">
                  <c:v>-6.6607769327532984E-2</c:v>
                </c:pt>
                <c:pt idx="1">
                  <c:v>-1.835469771131415E-2</c:v>
                </c:pt>
                <c:pt idx="2">
                  <c:v>1.2217231567797304E-2</c:v>
                </c:pt>
                <c:pt idx="3">
                  <c:v>3.5835205400919667E-2</c:v>
                </c:pt>
                <c:pt idx="4">
                  <c:v>5.5717693554777625E-2</c:v>
                </c:pt>
                <c:pt idx="5">
                  <c:v>7.3279449979839262E-2</c:v>
                </c:pt>
                <c:pt idx="6">
                  <c:v>8.9272189412370251E-2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5504"/>
        <c:axId val="105084416"/>
      </c:scatterChart>
      <c:valAx>
        <c:axId val="102725504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</a:t>
                </a:r>
                <a:r>
                  <a:rPr lang="en-US" baseline="0"/>
                  <a:t> ($/ton)</a:t>
                </a:r>
                <a:endParaRPr lang="en-US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5084416"/>
        <c:crosses val="autoZero"/>
        <c:crossBetween val="midCat"/>
      </c:valAx>
      <c:valAx>
        <c:axId val="105084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Rate of return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102725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NPV Vs.</a:t>
            </a:r>
            <a:r>
              <a:rPr lang="en-US" baseline="0"/>
              <a:t> Syngas Prices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Graphs!$C$2:$C$8</c:f>
              <c:numCache>
                <c:formatCode>"$"#,##0.00</c:formatCode>
                <c:ptCount val="7"/>
                <c:pt idx="0">
                  <c:v>-276.01182544681262</c:v>
                </c:pt>
                <c:pt idx="1">
                  <c:v>-201.36896830395548</c:v>
                </c:pt>
                <c:pt idx="2">
                  <c:v>-126.72611116109863</c:v>
                </c:pt>
                <c:pt idx="3">
                  <c:v>-52.083254018241355</c:v>
                </c:pt>
                <c:pt idx="4">
                  <c:v>22.559603124615727</c:v>
                </c:pt>
                <c:pt idx="5">
                  <c:v>97.202460267472873</c:v>
                </c:pt>
                <c:pt idx="6">
                  <c:v>171.8453174103301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50080"/>
        <c:axId val="108184320"/>
      </c:scatterChart>
      <c:valAx>
        <c:axId val="107950080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Syngas($/ton)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8184320"/>
        <c:crosses val="autoZero"/>
        <c:crossBetween val="midCat"/>
      </c:valAx>
      <c:valAx>
        <c:axId val="108184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Present value </a:t>
                </a:r>
                <a:r>
                  <a:rPr lang="en-US"/>
                  <a:t>($million)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7950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12</xdr:row>
      <xdr:rowOff>52387</xdr:rowOff>
    </xdr:from>
    <xdr:to>
      <xdr:col>18</xdr:col>
      <xdr:colOff>600075</xdr:colOff>
      <xdr:row>26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123825</xdr:colOff>
      <xdr:row>12</xdr:row>
      <xdr:rowOff>71437</xdr:rowOff>
    </xdr:from>
    <xdr:to>
      <xdr:col>7</xdr:col>
      <xdr:colOff>180975</xdr:colOff>
      <xdr:row>26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42" sqref="G42"/>
    </sheetView>
  </sheetViews>
  <sheetFormatPr defaultRowHeight="15" x14ac:dyDescent="0.25"/>
  <cols>
    <col min="1" max="1" width="9.140625" style="31" customWidth="1"/>
    <col min="2" max="2" width="22.42578125" style="12" customWidth="1"/>
    <col min="3" max="3" width="12.5703125" style="12" customWidth="1"/>
    <col min="4" max="4" width="11.5703125" style="31" customWidth="1"/>
    <col min="5" max="5" width="11.7109375" style="31" customWidth="1"/>
    <col min="6" max="6" width="18.42578125" style="31" customWidth="1"/>
    <col min="7" max="7" width="17.85546875" style="45" customWidth="1"/>
    <col min="8" max="8" width="16.42578125" style="11" customWidth="1"/>
    <col min="9" max="9" width="20.85546875" style="37" customWidth="1"/>
    <col min="10" max="10" width="20.85546875" style="11" customWidth="1"/>
    <col min="11" max="11" width="19.42578125" style="37" customWidth="1"/>
    <col min="12" max="12" width="9.140625" style="31"/>
    <col min="13" max="13" width="16.140625" style="31" customWidth="1"/>
    <col min="14" max="14" width="17" style="31" customWidth="1"/>
    <col min="15" max="15" width="18.5703125" style="31" customWidth="1"/>
    <col min="16" max="16384" width="9.140625" style="31"/>
  </cols>
  <sheetData>
    <row r="1" spans="1:16" ht="46.5" customHeight="1" x14ac:dyDescent="0.25">
      <c r="A1" s="32" t="s">
        <v>103</v>
      </c>
      <c r="B1" s="32" t="s">
        <v>9</v>
      </c>
      <c r="C1" s="32" t="s">
        <v>91</v>
      </c>
      <c r="D1" s="32" t="s">
        <v>94</v>
      </c>
      <c r="E1" s="32" t="s">
        <v>93</v>
      </c>
      <c r="F1" s="32" t="s">
        <v>16</v>
      </c>
      <c r="G1" s="34" t="s">
        <v>114</v>
      </c>
      <c r="H1" s="21" t="s">
        <v>115</v>
      </c>
      <c r="I1" s="34" t="s">
        <v>49</v>
      </c>
      <c r="J1" s="21" t="s">
        <v>116</v>
      </c>
      <c r="K1" s="34" t="s">
        <v>117</v>
      </c>
      <c r="L1" s="35" t="s">
        <v>109</v>
      </c>
      <c r="M1" s="94" t="s">
        <v>52</v>
      </c>
      <c r="N1" s="94"/>
      <c r="O1" s="94"/>
      <c r="P1" s="32"/>
    </row>
    <row r="2" spans="1:16" s="39" customFormat="1" x14ac:dyDescent="0.25">
      <c r="A2" s="15">
        <v>1</v>
      </c>
      <c r="B2" s="49" t="s">
        <v>57</v>
      </c>
      <c r="C2" s="15">
        <v>10737</v>
      </c>
      <c r="D2" s="15"/>
      <c r="E2" s="15"/>
      <c r="F2" s="15"/>
      <c r="G2" s="36">
        <v>1150000</v>
      </c>
      <c r="H2" s="14"/>
      <c r="I2" s="44"/>
      <c r="J2" s="14"/>
      <c r="K2" s="37">
        <v>2400000</v>
      </c>
      <c r="L2" s="46" t="s">
        <v>110</v>
      </c>
      <c r="M2" s="15"/>
      <c r="N2" s="15"/>
      <c r="O2" s="15"/>
      <c r="P2" s="15"/>
    </row>
    <row r="3" spans="1:16" x14ac:dyDescent="0.25">
      <c r="A3" s="15">
        <v>1</v>
      </c>
      <c r="B3" s="49" t="s">
        <v>58</v>
      </c>
      <c r="C3" s="15">
        <v>10737</v>
      </c>
      <c r="D3" s="15"/>
      <c r="E3" s="15"/>
      <c r="F3" s="15"/>
      <c r="G3" s="36">
        <f>G2</f>
        <v>1150000</v>
      </c>
      <c r="H3" s="14"/>
      <c r="I3" s="44"/>
      <c r="J3" s="14"/>
      <c r="K3" s="36">
        <f>K2</f>
        <v>2400000</v>
      </c>
      <c r="L3" s="46" t="s">
        <v>110</v>
      </c>
      <c r="M3" s="15"/>
      <c r="N3" s="15"/>
      <c r="O3" s="15"/>
      <c r="P3" s="15"/>
    </row>
    <row r="4" spans="1:16" x14ac:dyDescent="0.25">
      <c r="A4" s="12">
        <v>1</v>
      </c>
      <c r="B4" s="50" t="s">
        <v>50</v>
      </c>
      <c r="F4" s="13"/>
      <c r="K4" s="37">
        <f>100000000</f>
        <v>100000000</v>
      </c>
      <c r="L4" s="46" t="s">
        <v>111</v>
      </c>
    </row>
    <row r="5" spans="1:16" x14ac:dyDescent="0.25">
      <c r="A5" s="12">
        <v>1</v>
      </c>
      <c r="B5" s="50" t="s">
        <v>60</v>
      </c>
      <c r="F5" s="13"/>
      <c r="G5" s="45">
        <v>344200</v>
      </c>
      <c r="H5" s="11">
        <v>2007</v>
      </c>
      <c r="I5" s="37">
        <f>G5*(556.8/525.4)</f>
        <v>364770.76513132849</v>
      </c>
      <c r="J5" s="11">
        <v>1.4</v>
      </c>
      <c r="K5" s="37">
        <f>J5*I5</f>
        <v>510679.07118385984</v>
      </c>
      <c r="L5" s="46"/>
      <c r="N5" s="31" t="s">
        <v>112</v>
      </c>
    </row>
    <row r="6" spans="1:16" x14ac:dyDescent="0.25">
      <c r="A6" s="12">
        <v>1</v>
      </c>
      <c r="B6" s="12" t="s">
        <v>61</v>
      </c>
      <c r="C6" s="12">
        <v>450</v>
      </c>
      <c r="I6" s="37">
        <f>(556.8/525.4)*G6</f>
        <v>0</v>
      </c>
      <c r="K6" s="37">
        <f>I6*J6</f>
        <v>0</v>
      </c>
      <c r="L6" s="46"/>
      <c r="M6" s="18" t="s">
        <v>113</v>
      </c>
    </row>
    <row r="7" spans="1:16" x14ac:dyDescent="0.25">
      <c r="A7" s="12"/>
      <c r="B7" s="12" t="s">
        <v>121</v>
      </c>
      <c r="G7" s="45">
        <v>9000000</v>
      </c>
      <c r="K7" s="51">
        <v>12500000</v>
      </c>
      <c r="L7" s="38" t="s">
        <v>122</v>
      </c>
      <c r="M7" s="18"/>
    </row>
    <row r="8" spans="1:16" x14ac:dyDescent="0.25">
      <c r="A8" s="12">
        <v>1</v>
      </c>
      <c r="B8" s="12" t="s">
        <v>62</v>
      </c>
      <c r="G8" s="45">
        <v>33500000</v>
      </c>
      <c r="H8" s="11">
        <v>2009</v>
      </c>
      <c r="I8" s="37">
        <f>(556.8/521.9)*G8</f>
        <v>35740180.111132398</v>
      </c>
      <c r="K8" s="51">
        <f>I8</f>
        <v>35740180.111132398</v>
      </c>
      <c r="L8" s="46"/>
      <c r="N8" s="33"/>
    </row>
    <row r="9" spans="1:16" x14ac:dyDescent="0.25">
      <c r="A9" s="12">
        <v>1</v>
      </c>
      <c r="B9" s="12" t="s">
        <v>92</v>
      </c>
      <c r="C9" s="12">
        <v>2020</v>
      </c>
      <c r="G9" s="37" t="s">
        <v>118</v>
      </c>
      <c r="L9" s="46"/>
    </row>
    <row r="10" spans="1:16" x14ac:dyDescent="0.25">
      <c r="A10" s="12"/>
      <c r="B10" s="12" t="s">
        <v>63</v>
      </c>
      <c r="G10" s="45">
        <v>257500</v>
      </c>
      <c r="H10" s="11">
        <v>2007</v>
      </c>
      <c r="I10" s="37">
        <f>(556.8/525.4)*G10</f>
        <v>272889.22725542443</v>
      </c>
      <c r="J10" s="11">
        <v>1.5</v>
      </c>
      <c r="K10" s="37">
        <f>I10*J10</f>
        <v>409333.84088313661</v>
      </c>
      <c r="L10" s="46"/>
    </row>
    <row r="11" spans="1:16" x14ac:dyDescent="0.25">
      <c r="A11" s="12">
        <v>1</v>
      </c>
      <c r="B11" s="12" t="s">
        <v>11</v>
      </c>
      <c r="D11" s="12"/>
      <c r="E11" s="12">
        <v>6570.41</v>
      </c>
      <c r="F11" s="12">
        <v>4</v>
      </c>
      <c r="G11" s="45">
        <v>162300</v>
      </c>
      <c r="K11" s="37">
        <v>302500</v>
      </c>
      <c r="L11" s="46"/>
    </row>
    <row r="12" spans="1:16" s="41" customFormat="1" x14ac:dyDescent="0.25">
      <c r="A12" s="12">
        <v>1</v>
      </c>
      <c r="B12" s="50" t="s">
        <v>12</v>
      </c>
      <c r="C12" s="12"/>
      <c r="D12" s="12"/>
      <c r="E12" s="12">
        <v>6738.98</v>
      </c>
      <c r="F12" s="12">
        <v>1</v>
      </c>
      <c r="G12" s="45">
        <v>168800</v>
      </c>
      <c r="H12" s="11"/>
      <c r="I12" s="37"/>
      <c r="J12" s="11"/>
      <c r="K12" s="37">
        <v>320600</v>
      </c>
      <c r="L12" s="40"/>
      <c r="M12" s="31"/>
      <c r="N12" s="31"/>
      <c r="O12" s="31"/>
      <c r="P12" s="31"/>
    </row>
    <row r="13" spans="1:16" x14ac:dyDescent="0.25">
      <c r="A13" s="12">
        <v>1</v>
      </c>
      <c r="B13" s="50" t="s">
        <v>64</v>
      </c>
      <c r="D13" s="12"/>
      <c r="E13" s="12">
        <v>439.96</v>
      </c>
      <c r="F13" s="12"/>
      <c r="G13" s="45">
        <v>16700</v>
      </c>
      <c r="K13" s="37">
        <v>79200</v>
      </c>
      <c r="L13" s="46"/>
    </row>
    <row r="14" spans="1:16" x14ac:dyDescent="0.25">
      <c r="A14" s="12">
        <v>1</v>
      </c>
      <c r="B14" s="50" t="s">
        <v>65</v>
      </c>
      <c r="D14" s="12"/>
      <c r="E14" s="12">
        <v>257.97000000000003</v>
      </c>
      <c r="F14" s="12"/>
      <c r="G14" s="45">
        <v>13600</v>
      </c>
      <c r="K14" s="37">
        <v>73600</v>
      </c>
      <c r="L14" s="46"/>
    </row>
    <row r="15" spans="1:16" x14ac:dyDescent="0.25">
      <c r="A15" s="12">
        <v>1</v>
      </c>
      <c r="B15" s="50" t="s">
        <v>66</v>
      </c>
      <c r="D15" s="12"/>
      <c r="E15" s="12">
        <v>162.54</v>
      </c>
      <c r="F15" s="12"/>
      <c r="G15" s="45">
        <v>11800</v>
      </c>
      <c r="K15" s="37">
        <v>69800</v>
      </c>
      <c r="L15" s="46"/>
    </row>
    <row r="16" spans="1:16" x14ac:dyDescent="0.25">
      <c r="A16" s="12">
        <v>1</v>
      </c>
      <c r="B16" s="50" t="s">
        <v>17</v>
      </c>
      <c r="F16" s="13"/>
      <c r="G16" s="45">
        <v>102600</v>
      </c>
      <c r="K16" s="37">
        <v>477000</v>
      </c>
      <c r="L16" s="46"/>
    </row>
    <row r="17" spans="1:16" s="32" customFormat="1" x14ac:dyDescent="0.25">
      <c r="A17" s="12">
        <v>1</v>
      </c>
      <c r="B17" s="12" t="s">
        <v>95</v>
      </c>
      <c r="C17" s="12">
        <v>353.24</v>
      </c>
      <c r="D17" s="31"/>
      <c r="E17" s="31"/>
      <c r="F17" s="11"/>
      <c r="G17" s="36">
        <v>105989</v>
      </c>
      <c r="H17" s="11"/>
      <c r="I17" s="37"/>
      <c r="J17" s="11"/>
      <c r="K17" s="37">
        <v>135000</v>
      </c>
      <c r="L17" s="43" t="s">
        <v>110</v>
      </c>
      <c r="M17" s="31"/>
      <c r="N17" s="31"/>
      <c r="O17" s="31"/>
      <c r="P17" s="31"/>
    </row>
    <row r="18" spans="1:16" s="15" customFormat="1" x14ac:dyDescent="0.25">
      <c r="A18" s="12">
        <v>1</v>
      </c>
      <c r="B18" s="12" t="s">
        <v>96</v>
      </c>
      <c r="C18" s="12">
        <v>6980</v>
      </c>
      <c r="D18" s="31"/>
      <c r="E18" s="31"/>
      <c r="F18" s="11"/>
      <c r="G18" s="36">
        <v>601226</v>
      </c>
      <c r="H18" s="11"/>
      <c r="I18" s="37"/>
      <c r="J18" s="11"/>
      <c r="K18" s="37">
        <v>673100</v>
      </c>
      <c r="L18" s="43" t="s">
        <v>110</v>
      </c>
      <c r="M18" s="31"/>
      <c r="N18" s="31"/>
      <c r="O18" s="31"/>
      <c r="P18" s="31"/>
    </row>
    <row r="19" spans="1:16" s="15" customFormat="1" x14ac:dyDescent="0.25">
      <c r="A19" s="12">
        <v>1</v>
      </c>
      <c r="B19" s="12" t="s">
        <v>97</v>
      </c>
      <c r="C19" s="12">
        <v>680</v>
      </c>
      <c r="D19" s="31"/>
      <c r="E19" s="31"/>
      <c r="F19" s="11"/>
      <c r="G19" s="36">
        <v>86758</v>
      </c>
      <c r="H19" s="11"/>
      <c r="I19" s="37"/>
      <c r="J19" s="11"/>
      <c r="K19" s="37">
        <v>118600</v>
      </c>
      <c r="L19" s="43" t="s">
        <v>110</v>
      </c>
      <c r="M19" s="31"/>
      <c r="N19" s="31"/>
      <c r="O19" s="31"/>
      <c r="P19" s="31"/>
    </row>
    <row r="20" spans="1:16" x14ac:dyDescent="0.25">
      <c r="A20" s="12">
        <v>1</v>
      </c>
      <c r="B20" s="12" t="s">
        <v>98</v>
      </c>
      <c r="C20" s="12">
        <v>461.81</v>
      </c>
      <c r="F20" s="11"/>
      <c r="G20" s="45">
        <v>90009</v>
      </c>
      <c r="K20" s="37">
        <v>122400</v>
      </c>
      <c r="L20" s="42" t="s">
        <v>110</v>
      </c>
    </row>
    <row r="21" spans="1:16" x14ac:dyDescent="0.25">
      <c r="A21" s="12">
        <v>1</v>
      </c>
      <c r="B21" s="12" t="s">
        <v>99</v>
      </c>
      <c r="C21" s="12">
        <v>461.81</v>
      </c>
      <c r="F21" s="11"/>
      <c r="G21" s="45">
        <v>86266</v>
      </c>
      <c r="K21" s="37">
        <v>117000</v>
      </c>
      <c r="L21" s="31" t="s">
        <v>110</v>
      </c>
    </row>
    <row r="22" spans="1:16" x14ac:dyDescent="0.25">
      <c r="A22" s="12">
        <v>2</v>
      </c>
      <c r="B22" s="50" t="s">
        <v>10</v>
      </c>
      <c r="D22" s="12"/>
      <c r="E22" s="12"/>
      <c r="F22" s="12"/>
      <c r="G22" s="45">
        <f>A22*66000000</f>
        <v>132000000</v>
      </c>
      <c r="K22" s="37">
        <f>G22</f>
        <v>132000000</v>
      </c>
      <c r="L22" s="42"/>
      <c r="N22" s="31" t="s">
        <v>18</v>
      </c>
    </row>
    <row r="23" spans="1:16" x14ac:dyDescent="0.25">
      <c r="A23" s="12">
        <v>1</v>
      </c>
      <c r="B23" s="12" t="s">
        <v>100</v>
      </c>
      <c r="E23" s="31">
        <v>1574.11</v>
      </c>
      <c r="J23" s="11">
        <v>1.6</v>
      </c>
      <c r="L23" s="42"/>
    </row>
    <row r="24" spans="1:16" x14ac:dyDescent="0.25">
      <c r="A24" s="12">
        <v>1</v>
      </c>
      <c r="B24" s="12" t="s">
        <v>101</v>
      </c>
      <c r="E24" s="31">
        <v>996.3</v>
      </c>
      <c r="J24" s="11">
        <v>1.6</v>
      </c>
      <c r="L24" s="42"/>
    </row>
    <row r="25" spans="1:16" x14ac:dyDescent="0.25">
      <c r="A25" s="12">
        <v>1</v>
      </c>
      <c r="B25" s="12" t="s">
        <v>102</v>
      </c>
      <c r="E25" s="31">
        <v>992.06</v>
      </c>
      <c r="J25" s="11">
        <v>1.6</v>
      </c>
      <c r="L25" s="42"/>
    </row>
    <row r="26" spans="1:16" x14ac:dyDescent="0.25">
      <c r="A26" s="12">
        <v>1</v>
      </c>
      <c r="B26" s="12" t="s">
        <v>68</v>
      </c>
      <c r="E26" s="42">
        <v>491</v>
      </c>
      <c r="F26" s="12"/>
      <c r="G26" s="45">
        <v>55800</v>
      </c>
      <c r="H26" s="11">
        <v>2007</v>
      </c>
      <c r="I26" s="37">
        <f>(556.8/525.4)*G26</f>
        <v>59134.830605253141</v>
      </c>
      <c r="J26" s="11">
        <v>2.1</v>
      </c>
      <c r="K26" s="37">
        <f>I26*J26</f>
        <v>124183.1442710316</v>
      </c>
      <c r="L26" s="31" t="s">
        <v>110</v>
      </c>
    </row>
    <row r="27" spans="1:16" x14ac:dyDescent="0.25">
      <c r="A27" s="12">
        <v>1</v>
      </c>
      <c r="B27" s="12" t="s">
        <v>69</v>
      </c>
      <c r="E27" s="42">
        <v>2860</v>
      </c>
      <c r="F27" s="12"/>
      <c r="G27" s="45">
        <v>232700</v>
      </c>
      <c r="H27" s="11">
        <v>2007</v>
      </c>
      <c r="I27" s="37">
        <f>(556.8/525.4)*G27</f>
        <v>246607.08031975638</v>
      </c>
      <c r="J27" s="11">
        <v>2.1</v>
      </c>
      <c r="K27" s="37">
        <f>I27*J27</f>
        <v>517874.86867148842</v>
      </c>
      <c r="L27" s="31" t="s">
        <v>110</v>
      </c>
    </row>
    <row r="28" spans="1:16" x14ac:dyDescent="0.25">
      <c r="A28" s="12">
        <v>1</v>
      </c>
      <c r="B28" s="50" t="s">
        <v>70</v>
      </c>
      <c r="E28" s="42">
        <v>1200</v>
      </c>
      <c r="F28" s="12"/>
      <c r="G28" s="45">
        <v>115100</v>
      </c>
      <c r="H28" s="11">
        <v>2007</v>
      </c>
      <c r="I28" s="37">
        <f>(556.8/525.4)*G28</f>
        <v>121978.83517320137</v>
      </c>
      <c r="J28" s="11">
        <v>2.1</v>
      </c>
      <c r="K28" s="37">
        <f>I28*J28</f>
        <v>256155.55386372289</v>
      </c>
      <c r="L28" s="31" t="s">
        <v>110</v>
      </c>
    </row>
    <row r="29" spans="1:16" x14ac:dyDescent="0.25">
      <c r="A29" s="12">
        <v>1</v>
      </c>
      <c r="B29" s="12" t="s">
        <v>59</v>
      </c>
      <c r="D29" s="12"/>
      <c r="E29" s="42">
        <v>298.39999999999998</v>
      </c>
      <c r="F29" s="12"/>
      <c r="G29" s="45">
        <v>92300</v>
      </c>
      <c r="K29" s="37">
        <v>224300</v>
      </c>
      <c r="L29" s="31" t="s">
        <v>110</v>
      </c>
    </row>
    <row r="30" spans="1:16" x14ac:dyDescent="0.25">
      <c r="A30" s="12">
        <v>1</v>
      </c>
      <c r="B30" s="50" t="s">
        <v>71</v>
      </c>
      <c r="G30" s="45">
        <v>3778800</v>
      </c>
      <c r="H30" s="11">
        <v>1998</v>
      </c>
      <c r="I30" s="37">
        <f>(556.8/389.5)*G30</f>
        <v>5401889.191270859</v>
      </c>
      <c r="J30" s="11">
        <v>1.3</v>
      </c>
      <c r="K30" s="37">
        <f>I30*J30</f>
        <v>7022455.9486521166</v>
      </c>
      <c r="L30" s="42"/>
      <c r="N30" s="95" t="s">
        <v>53</v>
      </c>
      <c r="O30" s="95"/>
    </row>
    <row r="31" spans="1:16" x14ac:dyDescent="0.25">
      <c r="A31" s="12">
        <v>1</v>
      </c>
      <c r="B31" s="12" t="s">
        <v>54</v>
      </c>
      <c r="G31" s="37" t="s">
        <v>120</v>
      </c>
      <c r="H31" s="11">
        <v>2007</v>
      </c>
      <c r="I31" s="31"/>
      <c r="J31" s="11">
        <v>1.6</v>
      </c>
      <c r="K31" s="31"/>
      <c r="L31" s="42"/>
      <c r="N31" s="11" t="e">
        <f>(556.8/525.4)*G31</f>
        <v>#VALUE!</v>
      </c>
      <c r="O31" s="37" t="e">
        <f>N31*J31</f>
        <v>#VALUE!</v>
      </c>
    </row>
    <row r="32" spans="1:16" ht="18.75" customHeight="1" x14ac:dyDescent="0.25">
      <c r="A32" s="12">
        <v>1</v>
      </c>
      <c r="B32" s="12" t="s">
        <v>55</v>
      </c>
      <c r="J32" s="11">
        <v>1.6</v>
      </c>
      <c r="L32" s="42"/>
    </row>
    <row r="33" spans="1:12" ht="15" customHeight="1" x14ac:dyDescent="0.25">
      <c r="A33" s="12">
        <v>1</v>
      </c>
      <c r="B33" s="12" t="s">
        <v>56</v>
      </c>
      <c r="J33" s="11">
        <v>1.6</v>
      </c>
      <c r="L33" s="42"/>
    </row>
    <row r="34" spans="1:12" x14ac:dyDescent="0.25">
      <c r="A34" s="12">
        <v>2</v>
      </c>
      <c r="B34" s="50" t="s">
        <v>67</v>
      </c>
      <c r="C34" s="42">
        <v>6636.61</v>
      </c>
      <c r="F34" s="31">
        <v>56.4</v>
      </c>
      <c r="G34" s="45">
        <v>782300</v>
      </c>
      <c r="J34" s="11">
        <v>2.1</v>
      </c>
      <c r="K34" s="37">
        <v>3300000</v>
      </c>
      <c r="L34" s="42" t="s">
        <v>110</v>
      </c>
    </row>
    <row r="35" spans="1:12" x14ac:dyDescent="0.25">
      <c r="A35" s="12">
        <v>2</v>
      </c>
      <c r="B35" s="12" t="s">
        <v>104</v>
      </c>
      <c r="E35" s="31">
        <v>1672.56</v>
      </c>
      <c r="G35" s="37" t="s">
        <v>119</v>
      </c>
      <c r="L35" s="42"/>
    </row>
    <row r="36" spans="1:12" x14ac:dyDescent="0.25">
      <c r="A36" s="12">
        <v>2</v>
      </c>
      <c r="B36" s="12" t="s">
        <v>105</v>
      </c>
      <c r="C36" s="31">
        <v>403.89</v>
      </c>
      <c r="G36" s="37" t="s">
        <v>119</v>
      </c>
      <c r="L36" s="42"/>
    </row>
    <row r="37" spans="1:12" x14ac:dyDescent="0.25">
      <c r="A37" s="12">
        <v>2</v>
      </c>
      <c r="B37" s="12" t="s">
        <v>106</v>
      </c>
      <c r="E37" s="31">
        <v>17754.3</v>
      </c>
      <c r="F37" s="31">
        <v>204</v>
      </c>
      <c r="G37" s="37" t="s">
        <v>119</v>
      </c>
      <c r="L37" s="42"/>
    </row>
    <row r="38" spans="1:12" x14ac:dyDescent="0.25">
      <c r="A38" s="12">
        <v>2</v>
      </c>
      <c r="B38" s="12" t="s">
        <v>107</v>
      </c>
      <c r="F38" s="31">
        <v>56.4</v>
      </c>
      <c r="G38" s="37" t="s">
        <v>119</v>
      </c>
      <c r="L38" s="42"/>
    </row>
    <row r="39" spans="1:12" x14ac:dyDescent="0.25">
      <c r="A39" s="12">
        <v>1</v>
      </c>
      <c r="B39" s="50" t="s">
        <v>108</v>
      </c>
      <c r="C39" s="42">
        <v>144</v>
      </c>
      <c r="F39" s="31">
        <v>-16.5</v>
      </c>
      <c r="G39" s="37">
        <v>175042</v>
      </c>
      <c r="K39" s="47">
        <v>360000</v>
      </c>
      <c r="L39" s="42" t="s">
        <v>110</v>
      </c>
    </row>
    <row r="40" spans="1:12" x14ac:dyDescent="0.25">
      <c r="A40" s="12"/>
      <c r="L40" s="42"/>
    </row>
    <row r="41" spans="1:12" x14ac:dyDescent="0.25">
      <c r="A41" s="12"/>
      <c r="L41" s="42"/>
    </row>
    <row r="42" spans="1:12" x14ac:dyDescent="0.25">
      <c r="A42" s="12"/>
      <c r="B42" s="12" t="s">
        <v>90</v>
      </c>
      <c r="G42" s="45">
        <f>SUM(G2:G39)</f>
        <v>184079790</v>
      </c>
      <c r="I42" s="37">
        <f t="shared" ref="I42" si="0">(556.8/525.4)*G42</f>
        <v>195081132.60753712</v>
      </c>
      <c r="K42" s="37">
        <f>SUM(K2:K39)</f>
        <v>300253962.53865767</v>
      </c>
      <c r="L42" s="42"/>
    </row>
    <row r="43" spans="1:12" x14ac:dyDescent="0.25">
      <c r="A43" s="12"/>
      <c r="B43" s="12" t="s">
        <v>22</v>
      </c>
      <c r="G43" s="45">
        <f>K43</f>
        <v>299893962.53865767</v>
      </c>
      <c r="K43" s="37">
        <f>SUM(K2:K38)</f>
        <v>299893962.53865767</v>
      </c>
      <c r="L43" s="42"/>
    </row>
    <row r="44" spans="1:12" x14ac:dyDescent="0.25">
      <c r="A44" s="12"/>
      <c r="B44" s="12" t="s">
        <v>72</v>
      </c>
      <c r="L44" s="42"/>
    </row>
    <row r="45" spans="1:12" x14ac:dyDescent="0.25">
      <c r="A45" s="12"/>
      <c r="B45" s="12" t="s">
        <v>73</v>
      </c>
      <c r="L45" s="42"/>
    </row>
    <row r="46" spans="1:12" x14ac:dyDescent="0.25">
      <c r="A46" s="12"/>
      <c r="B46" s="12" t="s">
        <v>74</v>
      </c>
      <c r="L46" s="42"/>
    </row>
    <row r="47" spans="1:12" x14ac:dyDescent="0.25">
      <c r="A47" s="12"/>
      <c r="B47" s="12" t="s">
        <v>51</v>
      </c>
      <c r="L47" s="42"/>
    </row>
    <row r="48" spans="1:12" x14ac:dyDescent="0.25">
      <c r="A48" s="12"/>
      <c r="B48" s="12" t="s">
        <v>75</v>
      </c>
      <c r="D48" s="31">
        <v>8.5000000000000006E-2</v>
      </c>
      <c r="F48" s="33">
        <f>D48*G43</f>
        <v>25490986.815785903</v>
      </c>
      <c r="L48" s="42"/>
    </row>
    <row r="49" spans="1:12" x14ac:dyDescent="0.25">
      <c r="A49" s="12"/>
      <c r="D49" s="31">
        <v>0.1</v>
      </c>
      <c r="F49" s="33">
        <f>D49*G43</f>
        <v>29989396.253865767</v>
      </c>
      <c r="L49" s="42"/>
    </row>
    <row r="50" spans="1:12" x14ac:dyDescent="0.25">
      <c r="A50" s="12"/>
      <c r="L50" s="42"/>
    </row>
    <row r="51" spans="1:12" x14ac:dyDescent="0.25">
      <c r="A51" s="12"/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2">
    <mergeCell ref="M1:O1"/>
    <mergeCell ref="N30:O30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0" sqref="D20"/>
    </sheetView>
  </sheetViews>
  <sheetFormatPr defaultRowHeight="15" x14ac:dyDescent="0.25"/>
  <cols>
    <col min="2" max="2" width="16" customWidth="1"/>
    <col min="3" max="4" width="10" customWidth="1"/>
    <col min="5" max="5" width="12.42578125" customWidth="1"/>
    <col min="6" max="6" width="11.85546875" customWidth="1"/>
    <col min="7" max="7" width="15.140625" customWidth="1"/>
    <col min="8" max="8" width="16.5703125" customWidth="1"/>
  </cols>
  <sheetData>
    <row r="1" spans="1:8" ht="45" x14ac:dyDescent="0.25">
      <c r="A1" s="22"/>
      <c r="B1" s="23"/>
      <c r="C1" s="22"/>
      <c r="D1" s="22"/>
      <c r="E1" s="22"/>
      <c r="F1" s="24"/>
      <c r="G1" s="22"/>
      <c r="H1" s="2" t="s">
        <v>19</v>
      </c>
    </row>
    <row r="2" spans="1:8" x14ac:dyDescent="0.25">
      <c r="A2" s="20"/>
      <c r="B2" s="73" t="s">
        <v>0</v>
      </c>
      <c r="C2" s="96" t="s">
        <v>146</v>
      </c>
      <c r="D2" s="97"/>
      <c r="E2" s="96" t="s">
        <v>4</v>
      </c>
      <c r="F2" s="97"/>
      <c r="G2" s="73" t="s">
        <v>5</v>
      </c>
      <c r="H2" s="73" t="s">
        <v>8</v>
      </c>
    </row>
    <row r="3" spans="1:8" x14ac:dyDescent="0.25">
      <c r="A3" s="22"/>
      <c r="B3" s="74" t="s">
        <v>1</v>
      </c>
      <c r="C3" s="75">
        <v>2000</v>
      </c>
      <c r="D3" s="75" t="s">
        <v>147</v>
      </c>
      <c r="E3" s="76">
        <v>75</v>
      </c>
      <c r="F3" s="77" t="s">
        <v>6</v>
      </c>
      <c r="G3" s="78">
        <f>E3*C3</f>
        <v>150000</v>
      </c>
      <c r="H3" s="72">
        <f>G3*350</f>
        <v>52500000</v>
      </c>
    </row>
    <row r="4" spans="1:8" ht="30" x14ac:dyDescent="0.25">
      <c r="A4" s="22"/>
      <c r="B4" s="79" t="s">
        <v>13</v>
      </c>
      <c r="C4" s="75">
        <v>392.73</v>
      </c>
      <c r="D4" s="75" t="s">
        <v>148</v>
      </c>
      <c r="E4" s="76">
        <v>55</v>
      </c>
      <c r="F4" s="77" t="s">
        <v>7</v>
      </c>
      <c r="G4" s="78">
        <f>E4*C4</f>
        <v>21600.15</v>
      </c>
      <c r="H4" s="78">
        <f>G4*350</f>
        <v>7560052.5000000009</v>
      </c>
    </row>
    <row r="5" spans="1:8" x14ac:dyDescent="0.25">
      <c r="A5" s="22"/>
      <c r="B5" s="79" t="s">
        <v>143</v>
      </c>
      <c r="C5" s="93">
        <v>6200000</v>
      </c>
      <c r="D5" s="75" t="s">
        <v>226</v>
      </c>
      <c r="E5" s="76">
        <v>3.2</v>
      </c>
      <c r="F5" s="77" t="s">
        <v>7</v>
      </c>
      <c r="G5" s="78">
        <f>C5*E5</f>
        <v>19840000</v>
      </c>
      <c r="H5" s="78">
        <f>G5</f>
        <v>19840000</v>
      </c>
    </row>
    <row r="6" spans="1:8" x14ac:dyDescent="0.25">
      <c r="A6" s="22"/>
      <c r="B6" s="80" t="s">
        <v>2</v>
      </c>
      <c r="C6" s="75">
        <f>'Catalyst '!O22</f>
        <v>53001.53529</v>
      </c>
      <c r="D6" s="75" t="s">
        <v>148</v>
      </c>
      <c r="E6" s="76">
        <v>1.33</v>
      </c>
      <c r="F6" s="77" t="s">
        <v>7</v>
      </c>
      <c r="G6" s="78">
        <f>E6*C6</f>
        <v>70492.041935700006</v>
      </c>
      <c r="H6" s="78">
        <f>G6*350</f>
        <v>24672214.677495003</v>
      </c>
    </row>
    <row r="7" spans="1:8" x14ac:dyDescent="0.25">
      <c r="A7" s="22"/>
      <c r="B7" s="81" t="s">
        <v>3</v>
      </c>
      <c r="C7" s="75">
        <f>'Catalyst '!Q20</f>
        <v>449.52170929536226</v>
      </c>
      <c r="D7" s="75" t="s">
        <v>148</v>
      </c>
      <c r="E7" s="76">
        <v>2548.75</v>
      </c>
      <c r="F7" s="77" t="s">
        <v>15</v>
      </c>
      <c r="G7" s="78">
        <f>C7*E7/110</f>
        <v>10415.622332423223</v>
      </c>
      <c r="H7" s="78">
        <f>G7*350</f>
        <v>3645467.816348128</v>
      </c>
    </row>
    <row r="8" spans="1:8" x14ac:dyDescent="0.25">
      <c r="A8" s="22"/>
      <c r="B8" s="81" t="s">
        <v>149</v>
      </c>
      <c r="C8" s="75">
        <v>1920</v>
      </c>
      <c r="D8" s="75" t="s">
        <v>147</v>
      </c>
      <c r="E8" s="76">
        <v>61</v>
      </c>
      <c r="F8" s="77" t="s">
        <v>150</v>
      </c>
      <c r="G8" s="78">
        <f>E8*C8</f>
        <v>117120</v>
      </c>
      <c r="H8" s="78">
        <f>G8*350</f>
        <v>40992000</v>
      </c>
    </row>
    <row r="9" spans="1:8" x14ac:dyDescent="0.25">
      <c r="A9" s="22"/>
      <c r="B9" s="81" t="s">
        <v>145</v>
      </c>
      <c r="C9" s="75"/>
      <c r="D9" s="75"/>
      <c r="E9" s="75"/>
      <c r="F9" s="77"/>
      <c r="G9" s="78">
        <f>SUM(G3:G7)</f>
        <v>20092507.814268123</v>
      </c>
      <c r="H9" s="78">
        <f>SUM(H3:H8)</f>
        <v>149209734.99384314</v>
      </c>
    </row>
    <row r="10" spans="1:8" x14ac:dyDescent="0.25">
      <c r="A10" s="22"/>
      <c r="B10" s="23"/>
      <c r="C10" s="22"/>
      <c r="D10" s="22"/>
      <c r="E10" s="22"/>
      <c r="F10" s="24"/>
      <c r="G10" s="25"/>
      <c r="H10" s="25"/>
    </row>
    <row r="11" spans="1:8" x14ac:dyDescent="0.25">
      <c r="A11" s="22"/>
    </row>
    <row r="12" spans="1:8" x14ac:dyDescent="0.25">
      <c r="A12" s="22"/>
    </row>
  </sheetData>
  <mergeCells count="2">
    <mergeCell ref="E2:F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I4" sqref="I4"/>
    </sheetView>
  </sheetViews>
  <sheetFormatPr defaultRowHeight="15" x14ac:dyDescent="0.25"/>
  <cols>
    <col min="1" max="1" width="11" customWidth="1"/>
    <col min="3" max="3" width="11.42578125" customWidth="1"/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10" s="28" customFormat="1" x14ac:dyDescent="0.25">
      <c r="A1" s="29" t="s">
        <v>14</v>
      </c>
      <c r="B1" s="30"/>
      <c r="C1" s="26" t="s">
        <v>76</v>
      </c>
      <c r="D1" s="26"/>
      <c r="E1" s="26" t="s">
        <v>77</v>
      </c>
      <c r="F1" s="27" t="s">
        <v>78</v>
      </c>
      <c r="G1" s="26" t="s">
        <v>79</v>
      </c>
      <c r="H1" s="26" t="s">
        <v>80</v>
      </c>
      <c r="I1" s="27" t="s">
        <v>81</v>
      </c>
    </row>
    <row r="2" spans="1:10" x14ac:dyDescent="0.25">
      <c r="A2" s="1"/>
      <c r="B2" s="1"/>
      <c r="C2" s="18"/>
      <c r="D2" s="18"/>
      <c r="E2" s="18"/>
      <c r="F2" s="19"/>
      <c r="G2" s="18"/>
      <c r="H2" s="18"/>
      <c r="I2" s="19"/>
    </row>
    <row r="3" spans="1:10" x14ac:dyDescent="0.25">
      <c r="A3" s="1"/>
      <c r="B3" s="1"/>
      <c r="C3" s="18" t="s">
        <v>82</v>
      </c>
      <c r="D3" s="18"/>
      <c r="E3" s="18" t="s">
        <v>83</v>
      </c>
      <c r="F3" s="19">
        <v>1.8600049999999999</v>
      </c>
      <c r="G3" s="18" t="s">
        <v>84</v>
      </c>
      <c r="H3" s="18" t="s">
        <v>85</v>
      </c>
      <c r="I3" s="19">
        <v>226.6</v>
      </c>
    </row>
    <row r="4" spans="1:10" x14ac:dyDescent="0.25">
      <c r="A4" s="1"/>
      <c r="B4" s="1"/>
      <c r="C4" s="18" t="s">
        <v>86</v>
      </c>
      <c r="D4" s="18"/>
      <c r="E4" s="18" t="s">
        <v>87</v>
      </c>
      <c r="F4" s="19">
        <v>7.8326380000000002</v>
      </c>
      <c r="G4" s="18" t="s">
        <v>88</v>
      </c>
      <c r="H4" s="18" t="s">
        <v>89</v>
      </c>
      <c r="I4" s="19">
        <v>91.720191</v>
      </c>
      <c r="J4">
        <f>I4*24*350</f>
        <v>770449.60439999995</v>
      </c>
    </row>
    <row r="9" spans="1:10" x14ac:dyDescent="0.25">
      <c r="A9" t="s">
        <v>189</v>
      </c>
      <c r="B9" t="s">
        <v>190</v>
      </c>
      <c r="C9" t="s">
        <v>191</v>
      </c>
      <c r="E9" t="s">
        <v>192</v>
      </c>
      <c r="I9" t="s">
        <v>193</v>
      </c>
    </row>
    <row r="10" spans="1:10" x14ac:dyDescent="0.25">
      <c r="A10" t="s">
        <v>194</v>
      </c>
      <c r="B10">
        <v>2120</v>
      </c>
      <c r="C10">
        <v>1580.8837286400001</v>
      </c>
      <c r="E10">
        <v>5</v>
      </c>
      <c r="I10">
        <v>0.05</v>
      </c>
      <c r="J10" t="s">
        <v>195</v>
      </c>
    </row>
    <row r="11" spans="1:10" x14ac:dyDescent="0.25">
      <c r="A11" t="s">
        <v>196</v>
      </c>
      <c r="B11">
        <v>2342</v>
      </c>
      <c r="C11">
        <v>1746.429100224</v>
      </c>
    </row>
    <row r="12" spans="1:10" x14ac:dyDescent="0.25">
      <c r="A12" t="s">
        <v>197</v>
      </c>
      <c r="B12">
        <v>1596</v>
      </c>
      <c r="C12">
        <v>1190.136995712</v>
      </c>
      <c r="E12" t="s">
        <v>198</v>
      </c>
    </row>
    <row r="13" spans="1:10" x14ac:dyDescent="0.25">
      <c r="A13" t="s">
        <v>199</v>
      </c>
      <c r="B13">
        <v>1423</v>
      </c>
      <c r="C13">
        <v>1061.130917856</v>
      </c>
      <c r="E13">
        <v>24</v>
      </c>
      <c r="F13" t="s">
        <v>200</v>
      </c>
    </row>
    <row r="14" spans="1:10" x14ac:dyDescent="0.25">
      <c r="A14" t="s">
        <v>201</v>
      </c>
      <c r="B14">
        <v>2218</v>
      </c>
      <c r="C14">
        <v>1653.962316096</v>
      </c>
    </row>
    <row r="15" spans="1:10" x14ac:dyDescent="0.25">
      <c r="A15" t="s">
        <v>202</v>
      </c>
      <c r="B15">
        <v>1646</v>
      </c>
      <c r="C15">
        <v>1227.4219893120001</v>
      </c>
    </row>
    <row r="16" spans="1:10" x14ac:dyDescent="0.25">
      <c r="E16" t="s">
        <v>203</v>
      </c>
    </row>
    <row r="17" spans="1:10" x14ac:dyDescent="0.25">
      <c r="A17" t="s">
        <v>145</v>
      </c>
      <c r="B17">
        <v>11345</v>
      </c>
      <c r="C17">
        <v>8459.9650478400017</v>
      </c>
      <c r="E17">
        <v>42299.825239200007</v>
      </c>
      <c r="F17" t="s">
        <v>204</v>
      </c>
    </row>
    <row r="18" spans="1:10" x14ac:dyDescent="0.25">
      <c r="A18" t="s">
        <v>205</v>
      </c>
      <c r="E18" t="s">
        <v>206</v>
      </c>
      <c r="I18" t="s">
        <v>207</v>
      </c>
    </row>
    <row r="19" spans="1:10" x14ac:dyDescent="0.25">
      <c r="A19">
        <v>1</v>
      </c>
      <c r="B19" t="s">
        <v>208</v>
      </c>
      <c r="E19">
        <v>1015195.8057408002</v>
      </c>
      <c r="F19" t="s">
        <v>209</v>
      </c>
      <c r="I19">
        <v>50759.790287040014</v>
      </c>
    </row>
    <row r="20" spans="1:10" x14ac:dyDescent="0.25">
      <c r="A20">
        <v>0.74569987199999999</v>
      </c>
      <c r="B20" t="s">
        <v>210</v>
      </c>
      <c r="I20" t="s">
        <v>211</v>
      </c>
    </row>
    <row r="21" spans="1:10" x14ac:dyDescent="0.25">
      <c r="I21">
        <v>17765926.600464005</v>
      </c>
      <c r="J21" t="s">
        <v>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7"/>
  <sheetViews>
    <sheetView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34" sqref="A34"/>
    </sheetView>
  </sheetViews>
  <sheetFormatPr defaultRowHeight="15" x14ac:dyDescent="0.25"/>
  <cols>
    <col min="1" max="1" width="18.42578125" style="1" customWidth="1"/>
    <col min="2" max="2" width="16.85546875" customWidth="1"/>
    <col min="3" max="4" width="17.7109375" customWidth="1"/>
    <col min="5" max="5" width="17.85546875" customWidth="1"/>
    <col min="6" max="6" width="17.7109375" customWidth="1"/>
    <col min="7" max="7" width="17.42578125" customWidth="1"/>
    <col min="8" max="8" width="17.7109375" customWidth="1"/>
    <col min="9" max="9" width="18.28515625" customWidth="1"/>
    <col min="10" max="10" width="18.5703125" customWidth="1"/>
    <col min="11" max="11" width="18.28515625" customWidth="1"/>
    <col min="12" max="12" width="17.85546875" customWidth="1"/>
    <col min="13" max="13" width="19" customWidth="1"/>
    <col min="14" max="14" width="17.42578125" customWidth="1"/>
    <col min="15" max="15" width="19.42578125" customWidth="1"/>
    <col min="16" max="16" width="19" customWidth="1"/>
    <col min="17" max="17" width="17.5703125" customWidth="1"/>
    <col min="18" max="18" width="19.710937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  <col min="26" max="26" width="16.85546875" customWidth="1"/>
    <col min="27" max="27" width="24.28515625" customWidth="1"/>
  </cols>
  <sheetData>
    <row r="2" spans="1:27" x14ac:dyDescent="0.25">
      <c r="G2" s="67"/>
    </row>
    <row r="3" spans="1:27" x14ac:dyDescent="0.25">
      <c r="C3" s="5" t="s">
        <v>20</v>
      </c>
    </row>
    <row r="4" spans="1:27" x14ac:dyDescent="0.25">
      <c r="C4" s="5"/>
    </row>
    <row r="5" spans="1:27" x14ac:dyDescent="0.25">
      <c r="A5" s="66" t="s">
        <v>21</v>
      </c>
      <c r="B5" s="60"/>
      <c r="C5" s="60">
        <v>0</v>
      </c>
      <c r="D5" s="60">
        <v>1</v>
      </c>
      <c r="E5" s="60">
        <v>2</v>
      </c>
      <c r="F5" s="60">
        <v>3</v>
      </c>
      <c r="G5" s="60">
        <v>4</v>
      </c>
      <c r="H5" s="60">
        <v>5</v>
      </c>
      <c r="I5" s="60">
        <v>6</v>
      </c>
      <c r="J5" s="60">
        <v>7</v>
      </c>
      <c r="K5" s="60">
        <v>8</v>
      </c>
      <c r="L5" s="60">
        <v>9</v>
      </c>
      <c r="M5" s="60">
        <v>10</v>
      </c>
      <c r="N5" s="60">
        <v>11</v>
      </c>
      <c r="O5" s="60">
        <v>12</v>
      </c>
      <c r="P5" s="60">
        <v>13</v>
      </c>
      <c r="Q5" s="60">
        <v>14</v>
      </c>
      <c r="R5" s="60">
        <v>15</v>
      </c>
      <c r="S5" s="60">
        <v>16</v>
      </c>
      <c r="T5" s="60">
        <v>17</v>
      </c>
      <c r="U5" s="60">
        <v>18</v>
      </c>
      <c r="V5" s="60">
        <v>19</v>
      </c>
    </row>
    <row r="6" spans="1:27" x14ac:dyDescent="0.25">
      <c r="A6" s="61" t="s">
        <v>22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</row>
    <row r="7" spans="1:27" x14ac:dyDescent="0.25">
      <c r="A7" s="58"/>
      <c r="B7" s="71">
        <f>-Sheet3!C15</f>
        <v>-238341542.3898972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7" x14ac:dyDescent="0.25">
      <c r="A8" s="82" t="s">
        <v>23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7" ht="30" x14ac:dyDescent="0.25">
      <c r="A9" s="84" t="s">
        <v>225</v>
      </c>
      <c r="B9" s="83"/>
      <c r="C9" s="83"/>
      <c r="D9" s="83"/>
      <c r="E9" s="83"/>
      <c r="F9" s="83">
        <f>2600*350*0.6*300</f>
        <v>163800000</v>
      </c>
      <c r="G9" s="83">
        <f>350*2600*300*1.03</f>
        <v>281190000</v>
      </c>
      <c r="H9" s="83">
        <f>G9*1.03</f>
        <v>289625700</v>
      </c>
      <c r="I9" s="83">
        <f t="shared" ref="I9:V9" si="0">H9*1.03</f>
        <v>298314471</v>
      </c>
      <c r="J9" s="83">
        <f t="shared" si="0"/>
        <v>307263905.13</v>
      </c>
      <c r="K9" s="83">
        <f t="shared" si="0"/>
        <v>316481822.28390002</v>
      </c>
      <c r="L9" s="83">
        <f t="shared" si="0"/>
        <v>325976276.95241702</v>
      </c>
      <c r="M9" s="83">
        <f t="shared" si="0"/>
        <v>335755565.26098955</v>
      </c>
      <c r="N9" s="83">
        <f t="shared" si="0"/>
        <v>345828232.21881926</v>
      </c>
      <c r="O9" s="83">
        <f t="shared" si="0"/>
        <v>356203079.18538386</v>
      </c>
      <c r="P9" s="83">
        <f t="shared" si="0"/>
        <v>366889171.56094539</v>
      </c>
      <c r="Q9" s="83">
        <f t="shared" si="0"/>
        <v>377895846.70777375</v>
      </c>
      <c r="R9" s="83">
        <f t="shared" si="0"/>
        <v>389232722.10900694</v>
      </c>
      <c r="S9" s="83">
        <f t="shared" si="0"/>
        <v>400909703.77227718</v>
      </c>
      <c r="T9" s="83">
        <f t="shared" si="0"/>
        <v>412936994.88544548</v>
      </c>
      <c r="U9" s="83">
        <f t="shared" si="0"/>
        <v>425325104.73200887</v>
      </c>
      <c r="V9" s="83">
        <f t="shared" si="0"/>
        <v>438084857.87396914</v>
      </c>
    </row>
    <row r="10" spans="1:27" s="48" customFormat="1" ht="30" x14ac:dyDescent="0.25">
      <c r="A10" s="92" t="s">
        <v>218</v>
      </c>
      <c r="B10" s="83"/>
      <c r="C10" s="83">
        <v>0</v>
      </c>
      <c r="D10" s="83">
        <v>0</v>
      </c>
      <c r="E10" s="83">
        <f t="shared" ref="E10:V10" si="1">1.03*D10</f>
        <v>0</v>
      </c>
      <c r="F10" s="83">
        <f>100*170*0.6*350</f>
        <v>3570000</v>
      </c>
      <c r="G10" s="83">
        <f>100*170*350</f>
        <v>5950000</v>
      </c>
      <c r="H10" s="83">
        <f t="shared" si="1"/>
        <v>6128500</v>
      </c>
      <c r="I10" s="83">
        <f t="shared" si="1"/>
        <v>6312355</v>
      </c>
      <c r="J10" s="83">
        <f t="shared" si="1"/>
        <v>6501725.6500000004</v>
      </c>
      <c r="K10" s="83">
        <f t="shared" si="1"/>
        <v>6696777.4195000008</v>
      </c>
      <c r="L10" s="83">
        <f t="shared" si="1"/>
        <v>6897680.7420850014</v>
      </c>
      <c r="M10" s="83">
        <f t="shared" si="1"/>
        <v>7104611.1643475518</v>
      </c>
      <c r="N10" s="83">
        <f t="shared" si="1"/>
        <v>7317749.4992779782</v>
      </c>
      <c r="O10" s="83">
        <f t="shared" si="1"/>
        <v>7537281.9842563178</v>
      </c>
      <c r="P10" s="83">
        <f t="shared" si="1"/>
        <v>7763400.4437840078</v>
      </c>
      <c r="Q10" s="83">
        <f t="shared" si="1"/>
        <v>7996302.4570975285</v>
      </c>
      <c r="R10" s="83">
        <f t="shared" si="1"/>
        <v>8236191.5308104549</v>
      </c>
      <c r="S10" s="83">
        <f t="shared" si="1"/>
        <v>8483277.2767347693</v>
      </c>
      <c r="T10" s="83">
        <f t="shared" si="1"/>
        <v>8737775.5950368121</v>
      </c>
      <c r="U10" s="83">
        <f t="shared" si="1"/>
        <v>8999908.8628879171</v>
      </c>
      <c r="V10" s="83">
        <f t="shared" si="1"/>
        <v>9269906.1287745554</v>
      </c>
    </row>
    <row r="11" spans="1:27" ht="30" x14ac:dyDescent="0.25">
      <c r="A11" s="85" t="s">
        <v>144</v>
      </c>
      <c r="B11" s="83"/>
      <c r="C11" s="83">
        <v>0</v>
      </c>
      <c r="D11" s="83">
        <f>1.03*C11</f>
        <v>0</v>
      </c>
      <c r="E11" s="83">
        <f>1.03*D11</f>
        <v>0</v>
      </c>
      <c r="F11" s="83">
        <f>2000*0.6*350*40</f>
        <v>16800000</v>
      </c>
      <c r="G11" s="83">
        <f>2000*40*350</f>
        <v>28000000</v>
      </c>
      <c r="H11" s="83">
        <f t="shared" ref="H11:V11" si="2">1.03*G11</f>
        <v>28840000</v>
      </c>
      <c r="I11" s="83">
        <f t="shared" si="2"/>
        <v>29705200</v>
      </c>
      <c r="J11" s="83">
        <f t="shared" si="2"/>
        <v>30596356</v>
      </c>
      <c r="K11" s="83">
        <f t="shared" si="2"/>
        <v>31514246.68</v>
      </c>
      <c r="L11" s="83">
        <f t="shared" si="2"/>
        <v>32459674.080400001</v>
      </c>
      <c r="M11" s="83">
        <f t="shared" si="2"/>
        <v>33433464.302812003</v>
      </c>
      <c r="N11" s="83">
        <f t="shared" si="2"/>
        <v>34436468.231896363</v>
      </c>
      <c r="O11" s="83">
        <f t="shared" si="2"/>
        <v>35469562.278853253</v>
      </c>
      <c r="P11" s="83">
        <f t="shared" si="2"/>
        <v>36533649.147218853</v>
      </c>
      <c r="Q11" s="83">
        <f t="shared" si="2"/>
        <v>37629658.621635422</v>
      </c>
      <c r="R11" s="83">
        <f t="shared" si="2"/>
        <v>38758548.380284488</v>
      </c>
      <c r="S11" s="83">
        <f t="shared" si="2"/>
        <v>39921304.831693023</v>
      </c>
      <c r="T11" s="83">
        <f t="shared" si="2"/>
        <v>41118943.976643816</v>
      </c>
      <c r="U11" s="83">
        <f t="shared" si="2"/>
        <v>42352512.295943134</v>
      </c>
      <c r="V11" s="83">
        <f t="shared" si="2"/>
        <v>43623087.664821431</v>
      </c>
      <c r="W11" s="48"/>
      <c r="X11" s="48"/>
      <c r="Y11" s="48"/>
      <c r="Z11" s="48"/>
      <c r="AA11" s="48"/>
    </row>
    <row r="12" spans="1:27" x14ac:dyDescent="0.25">
      <c r="A12" s="86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7" x14ac:dyDescent="0.25">
      <c r="A13" s="82" t="s">
        <v>26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</row>
    <row r="14" spans="1:27" s="56" customFormat="1" x14ac:dyDescent="0.25">
      <c r="A14" s="82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spans="1:27" s="56" customFormat="1" x14ac:dyDescent="0.25">
      <c r="A15" s="82" t="s">
        <v>140</v>
      </c>
      <c r="B15" s="83"/>
      <c r="C15" s="83">
        <f>Sheet3!A8*0.1</f>
        <v>18247549.640000001</v>
      </c>
      <c r="D15" s="83">
        <f>Sheet3!A8*0.5</f>
        <v>91237748.200000003</v>
      </c>
      <c r="E15" s="83">
        <f>Sheet3!A8*0.3</f>
        <v>54742648.920000002</v>
      </c>
      <c r="F15" s="83">
        <f>Sheet3!A8*0.1</f>
        <v>18247549.640000001</v>
      </c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spans="1:27" s="56" customFormat="1" x14ac:dyDescent="0.25">
      <c r="A16" s="82" t="s">
        <v>141</v>
      </c>
      <c r="B16" s="83"/>
      <c r="C16" s="83">
        <f>36495099.28*0.1</f>
        <v>3649509.9280000003</v>
      </c>
      <c r="D16" s="83">
        <f>C16/0.1*0.05</f>
        <v>1824754.9640000002</v>
      </c>
      <c r="E16" s="83">
        <f>C16/0.1*0.3</f>
        <v>10948529.784</v>
      </c>
      <c r="F16" s="83">
        <f>C16/0.1*0.05</f>
        <v>1824754.9640000002</v>
      </c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</row>
    <row r="17" spans="1:27" s="56" customFormat="1" x14ac:dyDescent="0.25">
      <c r="A17" s="82" t="s">
        <v>142</v>
      </c>
      <c r="B17" s="83"/>
      <c r="C17" s="83">
        <f>C16/0.1*0.1</f>
        <v>3649509.9280000003</v>
      </c>
      <c r="D17" s="83">
        <f>C16/0.1*0.3</f>
        <v>10948529.784</v>
      </c>
      <c r="E17" s="87">
        <f>(C16/0.1)-D16-E16-F16-C17-D17</f>
        <v>7299019.8559999969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</row>
    <row r="18" spans="1:27" s="56" customFormat="1" x14ac:dyDescent="0.25">
      <c r="A18" s="82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spans="1:27" x14ac:dyDescent="0.25">
      <c r="A19" s="88" t="s">
        <v>28</v>
      </c>
      <c r="B19" s="83">
        <f>B7</f>
        <v>-238341542.3898972</v>
      </c>
      <c r="C19" s="83">
        <v>0</v>
      </c>
      <c r="D19" s="83">
        <v>0</v>
      </c>
      <c r="E19" s="83">
        <v>0</v>
      </c>
      <c r="F19" s="83">
        <f t="shared" ref="F19:V19" si="3">IPMT(8%,D5,19,$B$19,0)</f>
        <v>19067323.391191777</v>
      </c>
      <c r="G19" s="83">
        <f t="shared" si="3"/>
        <v>18607274.115307927</v>
      </c>
      <c r="H19" s="83">
        <f t="shared" si="3"/>
        <v>18110420.89735337</v>
      </c>
      <c r="I19" s="83">
        <f t="shared" si="3"/>
        <v>17573819.421962447</v>
      </c>
      <c r="J19" s="83">
        <f t="shared" si="3"/>
        <v>16994289.828540251</v>
      </c>
      <c r="K19" s="83">
        <f t="shared" si="3"/>
        <v>16368397.86764428</v>
      </c>
      <c r="L19" s="83">
        <f t="shared" si="3"/>
        <v>15692434.54987663</v>
      </c>
      <c r="M19" s="83">
        <f t="shared" si="3"/>
        <v>14962394.166687572</v>
      </c>
      <c r="N19" s="83">
        <f t="shared" si="3"/>
        <v>14173950.552843383</v>
      </c>
      <c r="O19" s="83">
        <f t="shared" si="3"/>
        <v>13322431.449891662</v>
      </c>
      <c r="P19" s="83">
        <f t="shared" si="3"/>
        <v>12402790.818703804</v>
      </c>
      <c r="Q19" s="83">
        <f t="shared" si="3"/>
        <v>11409578.937020916</v>
      </c>
      <c r="R19" s="83">
        <f t="shared" si="3"/>
        <v>10336910.104803396</v>
      </c>
      <c r="S19" s="83">
        <f t="shared" si="3"/>
        <v>9178427.7660084777</v>
      </c>
      <c r="T19" s="83">
        <f t="shared" si="3"/>
        <v>7927266.8401099648</v>
      </c>
      <c r="U19" s="83">
        <f t="shared" si="3"/>
        <v>6576013.040139569</v>
      </c>
      <c r="V19" s="83">
        <f t="shared" si="3"/>
        <v>5116658.9361715438</v>
      </c>
      <c r="W19" s="16"/>
      <c r="X19" s="16"/>
      <c r="Y19" s="16"/>
      <c r="Z19" s="16"/>
      <c r="AA19" s="16"/>
    </row>
    <row r="20" spans="1:27" x14ac:dyDescent="0.25">
      <c r="A20" s="88" t="s">
        <v>154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16"/>
      <c r="X20" s="16"/>
      <c r="Y20" s="16"/>
      <c r="Z20" s="16"/>
      <c r="AA20" s="16"/>
    </row>
    <row r="21" spans="1:27" x14ac:dyDescent="0.25">
      <c r="A21" s="88" t="s">
        <v>30</v>
      </c>
      <c r="B21" s="83"/>
      <c r="C21" s="83">
        <v>0</v>
      </c>
      <c r="D21" s="83">
        <v>0</v>
      </c>
      <c r="E21" s="83">
        <v>0</v>
      </c>
      <c r="F21" s="83">
        <f>G21*0.6</f>
        <v>1158678.95472</v>
      </c>
      <c r="G21" s="83">
        <f>1874885.04*1.03</f>
        <v>1931131.5912000001</v>
      </c>
      <c r="H21" s="83">
        <f t="shared" ref="H21:V21" si="4">1.03*G21</f>
        <v>1989065.5389360001</v>
      </c>
      <c r="I21" s="83">
        <f t="shared" si="4"/>
        <v>2048737.5051040801</v>
      </c>
      <c r="J21" s="83">
        <f t="shared" si="4"/>
        <v>2110199.6302572023</v>
      </c>
      <c r="K21" s="83">
        <f t="shared" si="4"/>
        <v>2173505.6191649185</v>
      </c>
      <c r="L21" s="83">
        <f t="shared" si="4"/>
        <v>2238710.7877398659</v>
      </c>
      <c r="M21" s="83">
        <f t="shared" si="4"/>
        <v>2305872.111372062</v>
      </c>
      <c r="N21" s="83">
        <f t="shared" si="4"/>
        <v>2375048.2747132238</v>
      </c>
      <c r="O21" s="83">
        <f t="shared" si="4"/>
        <v>2446299.7229546206</v>
      </c>
      <c r="P21" s="83">
        <f t="shared" si="4"/>
        <v>2519688.7146432591</v>
      </c>
      <c r="Q21" s="83">
        <f t="shared" si="4"/>
        <v>2595279.3760825568</v>
      </c>
      <c r="R21" s="83">
        <f t="shared" si="4"/>
        <v>2673137.7573650335</v>
      </c>
      <c r="S21" s="83">
        <f t="shared" si="4"/>
        <v>2753331.8900859845</v>
      </c>
      <c r="T21" s="83">
        <f t="shared" si="4"/>
        <v>2835931.8467885642</v>
      </c>
      <c r="U21" s="83">
        <f t="shared" si="4"/>
        <v>2921009.8021922214</v>
      </c>
      <c r="V21" s="83">
        <f t="shared" si="4"/>
        <v>3008640.0962579879</v>
      </c>
      <c r="W21" s="9"/>
      <c r="X21" s="9"/>
      <c r="Y21" s="9"/>
      <c r="Z21" s="9"/>
      <c r="AA21" s="9"/>
    </row>
    <row r="22" spans="1:27" x14ac:dyDescent="0.25">
      <c r="A22" s="88" t="s">
        <v>31</v>
      </c>
      <c r="B22" s="83"/>
      <c r="C22" s="83">
        <v>0</v>
      </c>
      <c r="D22" s="83">
        <v>0</v>
      </c>
      <c r="E22" s="83">
        <v>0</v>
      </c>
      <c r="F22" s="83">
        <f>Utilities!I21*0.6</f>
        <v>10659555.960278403</v>
      </c>
      <c r="G22" s="83">
        <f>Utilities!I21*1.03</f>
        <v>18298904.398477927</v>
      </c>
      <c r="H22" s="83">
        <f t="shared" ref="H22:V22" si="5">1.03*G22</f>
        <v>18847871.530432265</v>
      </c>
      <c r="I22" s="83">
        <f t="shared" si="5"/>
        <v>19413307.676345233</v>
      </c>
      <c r="J22" s="83">
        <f t="shared" si="5"/>
        <v>19995706.90663559</v>
      </c>
      <c r="K22" s="83">
        <f t="shared" si="5"/>
        <v>20595578.113834657</v>
      </c>
      <c r="L22" s="83">
        <f t="shared" si="5"/>
        <v>21213445.457249697</v>
      </c>
      <c r="M22" s="83">
        <f t="shared" si="5"/>
        <v>21849848.82096719</v>
      </c>
      <c r="N22" s="83">
        <f t="shared" si="5"/>
        <v>22505344.285596207</v>
      </c>
      <c r="O22" s="83">
        <f t="shared" si="5"/>
        <v>23180504.614164095</v>
      </c>
      <c r="P22" s="83">
        <f t="shared" si="5"/>
        <v>23875919.752589017</v>
      </c>
      <c r="Q22" s="83">
        <f t="shared" si="5"/>
        <v>24592197.345166687</v>
      </c>
      <c r="R22" s="83">
        <f t="shared" si="5"/>
        <v>25329963.265521687</v>
      </c>
      <c r="S22" s="83">
        <f t="shared" si="5"/>
        <v>26089862.163487338</v>
      </c>
      <c r="T22" s="83">
        <f t="shared" si="5"/>
        <v>26872558.028391957</v>
      </c>
      <c r="U22" s="83">
        <f t="shared" si="5"/>
        <v>27678734.769243717</v>
      </c>
      <c r="V22" s="83">
        <f t="shared" si="5"/>
        <v>28509096.81232103</v>
      </c>
      <c r="W22" s="9"/>
      <c r="X22" s="9"/>
      <c r="Y22" s="9"/>
      <c r="Z22" s="9"/>
      <c r="AA22" s="9"/>
    </row>
    <row r="23" spans="1:27" x14ac:dyDescent="0.25">
      <c r="A23" s="88" t="s">
        <v>153</v>
      </c>
      <c r="B23" s="83"/>
      <c r="C23" s="83"/>
      <c r="D23" s="83"/>
      <c r="E23" s="83"/>
      <c r="F23" s="83">
        <f>1484650*0.6</f>
        <v>890790</v>
      </c>
      <c r="G23" s="83">
        <f>F23*1.03/0.6</f>
        <v>1529189.5000000002</v>
      </c>
      <c r="H23" s="83">
        <f>G23*1.03</f>
        <v>1575065.1850000003</v>
      </c>
      <c r="I23" s="83">
        <f t="shared" ref="I23:V23" si="6">H23*1.03</f>
        <v>1622317.1405500004</v>
      </c>
      <c r="J23" s="83">
        <f t="shared" si="6"/>
        <v>1670986.6547665005</v>
      </c>
      <c r="K23" s="83">
        <f t="shared" si="6"/>
        <v>1721116.2544094955</v>
      </c>
      <c r="L23" s="83">
        <f t="shared" si="6"/>
        <v>1772749.7420417804</v>
      </c>
      <c r="M23" s="83">
        <f t="shared" si="6"/>
        <v>1825932.2343030339</v>
      </c>
      <c r="N23" s="83">
        <f t="shared" si="6"/>
        <v>1880710.2013321249</v>
      </c>
      <c r="O23" s="83">
        <f t="shared" si="6"/>
        <v>1937131.5073720887</v>
      </c>
      <c r="P23" s="83">
        <f t="shared" si="6"/>
        <v>1995245.4525932514</v>
      </c>
      <c r="Q23" s="83">
        <f t="shared" si="6"/>
        <v>2055102.8161710489</v>
      </c>
      <c r="R23" s="83">
        <f t="shared" si="6"/>
        <v>2116755.9006561805</v>
      </c>
      <c r="S23" s="83">
        <f t="shared" si="6"/>
        <v>2180258.577675866</v>
      </c>
      <c r="T23" s="83">
        <f t="shared" si="6"/>
        <v>2245666.335006142</v>
      </c>
      <c r="U23" s="83">
        <f t="shared" si="6"/>
        <v>2313036.3250563266</v>
      </c>
      <c r="V23" s="83">
        <f t="shared" si="6"/>
        <v>2382427.4148080163</v>
      </c>
      <c r="W23" s="9"/>
      <c r="X23" s="9"/>
      <c r="Y23" s="9"/>
      <c r="Z23" s="9"/>
      <c r="AA23" s="9"/>
    </row>
    <row r="24" spans="1:27" x14ac:dyDescent="0.25">
      <c r="A24" s="86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</row>
    <row r="25" spans="1:27" x14ac:dyDescent="0.25">
      <c r="A25" s="86" t="s">
        <v>33</v>
      </c>
      <c r="B25" s="83"/>
      <c r="C25" s="83">
        <v>0</v>
      </c>
      <c r="D25" s="83">
        <v>0</v>
      </c>
      <c r="E25" s="83">
        <v>0</v>
      </c>
      <c r="F25" s="83">
        <f>-B19/17</f>
        <v>14020090.728817482</v>
      </c>
      <c r="G25" s="83">
        <f t="shared" ref="G25:V25" si="7">F25</f>
        <v>14020090.728817482</v>
      </c>
      <c r="H25" s="83">
        <f t="shared" si="7"/>
        <v>14020090.728817482</v>
      </c>
      <c r="I25" s="83">
        <f t="shared" si="7"/>
        <v>14020090.728817482</v>
      </c>
      <c r="J25" s="83">
        <f t="shared" si="7"/>
        <v>14020090.728817482</v>
      </c>
      <c r="K25" s="83">
        <f t="shared" si="7"/>
        <v>14020090.728817482</v>
      </c>
      <c r="L25" s="83">
        <f t="shared" si="7"/>
        <v>14020090.728817482</v>
      </c>
      <c r="M25" s="83">
        <f t="shared" si="7"/>
        <v>14020090.728817482</v>
      </c>
      <c r="N25" s="83">
        <f t="shared" si="7"/>
        <v>14020090.728817482</v>
      </c>
      <c r="O25" s="83">
        <f t="shared" si="7"/>
        <v>14020090.728817482</v>
      </c>
      <c r="P25" s="83">
        <f t="shared" si="7"/>
        <v>14020090.728817482</v>
      </c>
      <c r="Q25" s="83">
        <f t="shared" si="7"/>
        <v>14020090.728817482</v>
      </c>
      <c r="R25" s="83">
        <f t="shared" si="7"/>
        <v>14020090.728817482</v>
      </c>
      <c r="S25" s="83">
        <f t="shared" si="7"/>
        <v>14020090.728817482</v>
      </c>
      <c r="T25" s="83">
        <f t="shared" si="7"/>
        <v>14020090.728817482</v>
      </c>
      <c r="U25" s="83">
        <f t="shared" si="7"/>
        <v>14020090.728817482</v>
      </c>
      <c r="V25" s="83">
        <f t="shared" si="7"/>
        <v>14020090.728817482</v>
      </c>
      <c r="W25" s="9"/>
      <c r="X25" s="9"/>
      <c r="Y25" s="9"/>
      <c r="Z25" s="9"/>
      <c r="AA25" s="9"/>
    </row>
    <row r="26" spans="1:27" ht="45" x14ac:dyDescent="0.25">
      <c r="A26" s="85" t="s">
        <v>123</v>
      </c>
      <c r="B26" s="83"/>
      <c r="C26" s="83">
        <v>0</v>
      </c>
      <c r="D26" s="83">
        <v>0</v>
      </c>
      <c r="E26" s="83">
        <f>D26*1.03</f>
        <v>0</v>
      </c>
      <c r="F26" s="83">
        <v>899360</v>
      </c>
      <c r="G26" s="83">
        <f>F26*1.03</f>
        <v>926340.8</v>
      </c>
      <c r="H26" s="83">
        <f t="shared" ref="H26:V26" si="8">G26*1.03</f>
        <v>954131.02400000009</v>
      </c>
      <c r="I26" s="83">
        <f t="shared" si="8"/>
        <v>982754.95472000015</v>
      </c>
      <c r="J26" s="83">
        <f t="shared" si="8"/>
        <v>1012237.6033616002</v>
      </c>
      <c r="K26" s="83">
        <f t="shared" si="8"/>
        <v>1042604.7314624483</v>
      </c>
      <c r="L26" s="83">
        <f t="shared" si="8"/>
        <v>1073882.8734063217</v>
      </c>
      <c r="M26" s="83">
        <f t="shared" si="8"/>
        <v>1106099.3596085114</v>
      </c>
      <c r="N26" s="83">
        <f t="shared" si="8"/>
        <v>1139282.3403967668</v>
      </c>
      <c r="O26" s="83">
        <f t="shared" si="8"/>
        <v>1173460.8106086699</v>
      </c>
      <c r="P26" s="83">
        <f t="shared" si="8"/>
        <v>1208664.6349269301</v>
      </c>
      <c r="Q26" s="83">
        <f t="shared" si="8"/>
        <v>1244924.5739747379</v>
      </c>
      <c r="R26" s="83">
        <f t="shared" si="8"/>
        <v>1282272.31119398</v>
      </c>
      <c r="S26" s="83">
        <f t="shared" si="8"/>
        <v>1320740.4805297996</v>
      </c>
      <c r="T26" s="83">
        <f t="shared" si="8"/>
        <v>1360362.6949456937</v>
      </c>
      <c r="U26" s="83">
        <f t="shared" si="8"/>
        <v>1401173.5757940647</v>
      </c>
      <c r="V26" s="83">
        <f t="shared" si="8"/>
        <v>1443208.7830678867</v>
      </c>
      <c r="W26" s="9"/>
      <c r="X26" s="9"/>
      <c r="Y26" s="9"/>
      <c r="Z26" s="9"/>
      <c r="AA26" s="9"/>
    </row>
    <row r="27" spans="1:27" x14ac:dyDescent="0.25">
      <c r="A27" s="86" t="s">
        <v>35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9"/>
      <c r="X27" s="9"/>
      <c r="Y27" s="9"/>
    </row>
    <row r="28" spans="1:27" x14ac:dyDescent="0.25">
      <c r="A28" s="86" t="s">
        <v>36</v>
      </c>
      <c r="B28" s="83"/>
      <c r="C28" s="83">
        <v>0</v>
      </c>
      <c r="D28" s="83">
        <v>0</v>
      </c>
      <c r="E28" s="83">
        <f>1.03*D28</f>
        <v>0</v>
      </c>
      <c r="F28" s="83">
        <f>-B7*0.05*0.6</f>
        <v>7150246.2716969168</v>
      </c>
      <c r="G28" s="83">
        <f>-B7*0.05*1.03</f>
        <v>12274589.433079707</v>
      </c>
      <c r="H28" s="83">
        <f t="shared" ref="H28:V28" si="9">1.03*G28</f>
        <v>12642827.116072098</v>
      </c>
      <c r="I28" s="83">
        <f t="shared" si="9"/>
        <v>13022111.929554261</v>
      </c>
      <c r="J28" s="83">
        <f t="shared" si="9"/>
        <v>13412775.287440889</v>
      </c>
      <c r="K28" s="83">
        <f t="shared" si="9"/>
        <v>13815158.546064116</v>
      </c>
      <c r="L28" s="83">
        <f t="shared" si="9"/>
        <v>14229613.302446039</v>
      </c>
      <c r="M28" s="83">
        <f t="shared" si="9"/>
        <v>14656501.70151942</v>
      </c>
      <c r="N28" s="83">
        <f t="shared" si="9"/>
        <v>15096196.752565004</v>
      </c>
      <c r="O28" s="83">
        <f t="shared" si="9"/>
        <v>15549082.655141955</v>
      </c>
      <c r="P28" s="83">
        <f t="shared" si="9"/>
        <v>16015555.134796215</v>
      </c>
      <c r="Q28" s="83">
        <f t="shared" si="9"/>
        <v>16496021.788840102</v>
      </c>
      <c r="R28" s="83">
        <f t="shared" si="9"/>
        <v>16990902.442505304</v>
      </c>
      <c r="S28" s="83">
        <f t="shared" si="9"/>
        <v>17500629.515780464</v>
      </c>
      <c r="T28" s="83">
        <f t="shared" si="9"/>
        <v>18025648.401253879</v>
      </c>
      <c r="U28" s="83">
        <f t="shared" si="9"/>
        <v>18566417.853291497</v>
      </c>
      <c r="V28" s="83">
        <f t="shared" si="9"/>
        <v>19123410.38889024</v>
      </c>
      <c r="W28" s="9"/>
      <c r="X28" s="9"/>
      <c r="Y28" s="9"/>
      <c r="Z28" s="9"/>
      <c r="AA28" s="9"/>
    </row>
    <row r="29" spans="1:27" ht="15.75" x14ac:dyDescent="0.25">
      <c r="A29" s="86" t="s">
        <v>0</v>
      </c>
      <c r="B29" s="83"/>
      <c r="C29" s="83">
        <v>0</v>
      </c>
      <c r="D29" s="83">
        <v>0</v>
      </c>
      <c r="E29" s="83">
        <v>0</v>
      </c>
      <c r="F29" s="83">
        <f>(('Raw Materials'!H9-19840000)*0.6)+19840000</f>
        <v>97461840.996305883</v>
      </c>
      <c r="G29" s="89">
        <f>('Raw Materials'!H9-19840000)*1.03</f>
        <v>133250827.04365844</v>
      </c>
      <c r="H29" s="83">
        <f t="shared" ref="H29:V29" si="10">1.03*G29</f>
        <v>137248351.85496819</v>
      </c>
      <c r="I29" s="83">
        <f t="shared" si="10"/>
        <v>141365802.41061723</v>
      </c>
      <c r="J29" s="83">
        <f t="shared" si="10"/>
        <v>145606776.48293576</v>
      </c>
      <c r="K29" s="83">
        <f t="shared" si="10"/>
        <v>149974979.77742383</v>
      </c>
      <c r="L29" s="83">
        <f>(1.03*K29)+(1.03^6*19840000)</f>
        <v>178164226.73388189</v>
      </c>
      <c r="M29" s="83">
        <f>1.03*(L29-(1.03^6*19840000))</f>
        <v>159108456.04586893</v>
      </c>
      <c r="N29" s="83">
        <f t="shared" si="10"/>
        <v>163881709.727245</v>
      </c>
      <c r="O29" s="83">
        <f t="shared" si="10"/>
        <v>168798161.01906237</v>
      </c>
      <c r="P29" s="83">
        <f t="shared" si="10"/>
        <v>173862105.84963426</v>
      </c>
      <c r="Q29" s="83">
        <f>1.03*P29+((1.03)^14*19840000)</f>
        <v>209087749.16624871</v>
      </c>
      <c r="R29" s="83">
        <f>1.03*(Q29-(19840000*(1.03)^14))</f>
        <v>184450308.09587699</v>
      </c>
      <c r="S29" s="87">
        <f>1.03*(R29)</f>
        <v>189983817.33875331</v>
      </c>
      <c r="T29" s="83">
        <f t="shared" si="10"/>
        <v>195683331.85891593</v>
      </c>
      <c r="U29" s="83">
        <f t="shared" si="10"/>
        <v>201553831.81468341</v>
      </c>
      <c r="V29" s="83">
        <f t="shared" si="10"/>
        <v>207600446.76912391</v>
      </c>
      <c r="W29" s="9"/>
      <c r="X29" s="9"/>
      <c r="Y29" s="9"/>
    </row>
    <row r="30" spans="1:27" x14ac:dyDescent="0.25">
      <c r="A30" s="86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10"/>
      <c r="X30" s="10"/>
      <c r="Y30" s="10"/>
      <c r="Z30" s="10"/>
      <c r="AA30" s="10"/>
    </row>
    <row r="31" spans="1:27" x14ac:dyDescent="0.25">
      <c r="A31" s="82" t="s">
        <v>37</v>
      </c>
      <c r="B31" s="83"/>
      <c r="C31" s="90">
        <f>SUM(C15:C17)</f>
        <v>25546569.495999999</v>
      </c>
      <c r="D31" s="90">
        <f>SUM(D15:D17)</f>
        <v>104011032.948</v>
      </c>
      <c r="E31" s="90">
        <f>SUM(E15:E17)</f>
        <v>72990198.560000002</v>
      </c>
      <c r="F31" s="90">
        <f t="shared" ref="F31:V31" si="11">SUM(F19:F30)</f>
        <v>151307886.30301046</v>
      </c>
      <c r="G31" s="90">
        <f t="shared" si="11"/>
        <v>200838347.61054146</v>
      </c>
      <c r="H31" s="90">
        <f t="shared" si="11"/>
        <v>205387823.87557942</v>
      </c>
      <c r="I31" s="90">
        <f t="shared" si="11"/>
        <v>210048941.76767075</v>
      </c>
      <c r="J31" s="90">
        <f t="shared" si="11"/>
        <v>214823063.12275529</v>
      </c>
      <c r="K31" s="90">
        <f t="shared" si="11"/>
        <v>219711431.63882121</v>
      </c>
      <c r="L31" s="90">
        <f t="shared" si="11"/>
        <v>248405154.17545968</v>
      </c>
      <c r="M31" s="90">
        <f t="shared" si="11"/>
        <v>229835195.16914421</v>
      </c>
      <c r="N31" s="90">
        <f t="shared" si="11"/>
        <v>235072332.86350918</v>
      </c>
      <c r="O31" s="90">
        <f t="shared" si="11"/>
        <v>240427162.50801295</v>
      </c>
      <c r="P31" s="90">
        <f t="shared" si="11"/>
        <v>245900061.08670422</v>
      </c>
      <c r="Q31" s="90">
        <f t="shared" si="11"/>
        <v>281500944.73232222</v>
      </c>
      <c r="R31" s="90">
        <f t="shared" si="11"/>
        <v>257200340.60674006</v>
      </c>
      <c r="S31" s="90">
        <f t="shared" si="11"/>
        <v>263027158.46113873</v>
      </c>
      <c r="T31" s="90">
        <f t="shared" si="11"/>
        <v>268970856.73422962</v>
      </c>
      <c r="U31" s="90">
        <f t="shared" si="11"/>
        <v>275030307.90921831</v>
      </c>
      <c r="V31" s="90">
        <f t="shared" si="11"/>
        <v>281203979.92945808</v>
      </c>
      <c r="W31" s="9"/>
      <c r="X31" s="9"/>
      <c r="Y31" s="9"/>
    </row>
    <row r="32" spans="1:27" x14ac:dyDescent="0.25">
      <c r="A32" s="86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17"/>
      <c r="X32" s="17"/>
      <c r="Y32" s="17"/>
      <c r="Z32" s="17"/>
      <c r="AA32" s="17"/>
    </row>
    <row r="33" spans="1:27" x14ac:dyDescent="0.25">
      <c r="A33" s="86" t="s">
        <v>38</v>
      </c>
      <c r="B33" s="83"/>
      <c r="C33" s="83">
        <v>0</v>
      </c>
      <c r="D33" s="83">
        <v>0</v>
      </c>
      <c r="E33" s="83">
        <v>0</v>
      </c>
      <c r="F33" s="83">
        <f t="shared" ref="F33:V33" si="12">F9+F11+F10-F31</f>
        <v>32862113.696989536</v>
      </c>
      <c r="G33" s="83">
        <f t="shared" si="12"/>
        <v>114301652.38945854</v>
      </c>
      <c r="H33" s="83">
        <f t="shared" si="12"/>
        <v>119206376.12442058</v>
      </c>
      <c r="I33" s="83">
        <f t="shared" si="12"/>
        <v>124283084.23232925</v>
      </c>
      <c r="J33" s="83">
        <f t="shared" si="12"/>
        <v>129538923.65724468</v>
      </c>
      <c r="K33" s="83">
        <f t="shared" si="12"/>
        <v>134981414.74457881</v>
      </c>
      <c r="L33" s="83">
        <f t="shared" si="12"/>
        <v>116928477.5994423</v>
      </c>
      <c r="M33" s="83">
        <f t="shared" si="12"/>
        <v>146458445.55900484</v>
      </c>
      <c r="N33" s="83">
        <f t="shared" si="12"/>
        <v>152510117.08648437</v>
      </c>
      <c r="O33" s="83">
        <f t="shared" si="12"/>
        <v>158782760.94048047</v>
      </c>
      <c r="P33" s="83">
        <f t="shared" si="12"/>
        <v>165286160.06524399</v>
      </c>
      <c r="Q33" s="83">
        <f t="shared" si="12"/>
        <v>142020863.0541845</v>
      </c>
      <c r="R33" s="83">
        <f t="shared" si="12"/>
        <v>179027121.41336185</v>
      </c>
      <c r="S33" s="83">
        <f t="shared" si="12"/>
        <v>186287127.41956621</v>
      </c>
      <c r="T33" s="83">
        <f t="shared" si="12"/>
        <v>193822857.72289646</v>
      </c>
      <c r="U33" s="83">
        <f t="shared" si="12"/>
        <v>201647217.98162162</v>
      </c>
      <c r="V33" s="83">
        <f t="shared" si="12"/>
        <v>209773871.73810709</v>
      </c>
      <c r="W33" s="17"/>
      <c r="X33" s="17"/>
      <c r="Y33" s="17"/>
      <c r="Z33" s="17"/>
      <c r="AA33" s="17"/>
    </row>
    <row r="34" spans="1:27" x14ac:dyDescent="0.25">
      <c r="A34" s="86" t="s">
        <v>39</v>
      </c>
      <c r="B34" s="83"/>
      <c r="C34" s="83">
        <f t="shared" ref="C34:V34" si="13">C33*0.4</f>
        <v>0</v>
      </c>
      <c r="D34" s="83">
        <f t="shared" si="13"/>
        <v>0</v>
      </c>
      <c r="E34" s="83">
        <f t="shared" si="13"/>
        <v>0</v>
      </c>
      <c r="F34" s="83">
        <f t="shared" si="13"/>
        <v>13144845.478795815</v>
      </c>
      <c r="G34" s="83">
        <f t="shared" si="13"/>
        <v>45720660.955783419</v>
      </c>
      <c r="H34" s="83">
        <f t="shared" si="13"/>
        <v>47682550.449768238</v>
      </c>
      <c r="I34" s="83">
        <f t="shared" si="13"/>
        <v>49713233.692931704</v>
      </c>
      <c r="J34" s="83">
        <f t="shared" si="13"/>
        <v>51815569.462897874</v>
      </c>
      <c r="K34" s="83">
        <f t="shared" si="13"/>
        <v>53992565.897831529</v>
      </c>
      <c r="L34" s="83">
        <f t="shared" si="13"/>
        <v>46771391.039776921</v>
      </c>
      <c r="M34" s="83">
        <f t="shared" si="13"/>
        <v>58583378.223601937</v>
      </c>
      <c r="N34" s="83">
        <f t="shared" si="13"/>
        <v>61004046.834593751</v>
      </c>
      <c r="O34" s="83">
        <f t="shared" si="13"/>
        <v>63513104.37619219</v>
      </c>
      <c r="P34" s="83">
        <f t="shared" si="13"/>
        <v>66114464.026097596</v>
      </c>
      <c r="Q34" s="83">
        <f t="shared" si="13"/>
        <v>56808345.221673802</v>
      </c>
      <c r="R34" s="83">
        <f t="shared" si="13"/>
        <v>71610848.565344736</v>
      </c>
      <c r="S34" s="83">
        <f t="shared" si="13"/>
        <v>74514850.967826486</v>
      </c>
      <c r="T34" s="83">
        <f t="shared" si="13"/>
        <v>77529143.08915858</v>
      </c>
      <c r="U34" s="83">
        <f t="shared" si="13"/>
        <v>80658887.192648649</v>
      </c>
      <c r="V34" s="83">
        <f t="shared" si="13"/>
        <v>83909548.695242837</v>
      </c>
      <c r="W34" s="9"/>
      <c r="X34" s="9"/>
      <c r="Y34" s="9"/>
    </row>
    <row r="35" spans="1:27" x14ac:dyDescent="0.25">
      <c r="A35" s="86" t="s">
        <v>40</v>
      </c>
      <c r="B35" s="83"/>
      <c r="C35" s="83">
        <f t="shared" ref="C35:V35" si="14">C33-C34</f>
        <v>0</v>
      </c>
      <c r="D35" s="83">
        <f t="shared" si="14"/>
        <v>0</v>
      </c>
      <c r="E35" s="83">
        <f t="shared" si="14"/>
        <v>0</v>
      </c>
      <c r="F35" s="83">
        <f t="shared" si="14"/>
        <v>19717268.218193721</v>
      </c>
      <c r="G35" s="83">
        <f t="shared" si="14"/>
        <v>68580991.43367511</v>
      </c>
      <c r="H35" s="83">
        <f t="shared" si="14"/>
        <v>71523825.674652338</v>
      </c>
      <c r="I35" s="83">
        <f t="shared" si="14"/>
        <v>74569850.539397538</v>
      </c>
      <c r="J35" s="83">
        <f t="shared" si="14"/>
        <v>77723354.194346815</v>
      </c>
      <c r="K35" s="83">
        <f t="shared" si="14"/>
        <v>80988848.846747279</v>
      </c>
      <c r="L35" s="83">
        <f t="shared" si="14"/>
        <v>70157086.559665382</v>
      </c>
      <c r="M35" s="83">
        <f t="shared" si="14"/>
        <v>87875067.335402906</v>
      </c>
      <c r="N35" s="83">
        <f t="shared" si="14"/>
        <v>91506070.25189063</v>
      </c>
      <c r="O35" s="83">
        <f t="shared" si="14"/>
        <v>95269656.564288288</v>
      </c>
      <c r="P35" s="83">
        <f t="shared" si="14"/>
        <v>99171696.039146394</v>
      </c>
      <c r="Q35" s="83">
        <f t="shared" si="14"/>
        <v>85212517.832510695</v>
      </c>
      <c r="R35" s="83">
        <f t="shared" si="14"/>
        <v>107416272.84801711</v>
      </c>
      <c r="S35" s="83">
        <f t="shared" si="14"/>
        <v>111772276.45173973</v>
      </c>
      <c r="T35" s="83">
        <f t="shared" si="14"/>
        <v>116293714.63373788</v>
      </c>
      <c r="U35" s="83">
        <f t="shared" si="14"/>
        <v>120988330.78897297</v>
      </c>
      <c r="V35" s="83">
        <f t="shared" si="14"/>
        <v>125864323.04286425</v>
      </c>
      <c r="W35" s="9"/>
      <c r="X35" s="9"/>
      <c r="Y35" s="9"/>
    </row>
    <row r="36" spans="1:27" x14ac:dyDescent="0.25">
      <c r="A36" s="86" t="s">
        <v>41</v>
      </c>
      <c r="B36" s="83"/>
      <c r="C36" s="83">
        <f t="shared" ref="C36:V36" si="15">C25</f>
        <v>0</v>
      </c>
      <c r="D36" s="83">
        <f t="shared" si="15"/>
        <v>0</v>
      </c>
      <c r="E36" s="83">
        <f t="shared" si="15"/>
        <v>0</v>
      </c>
      <c r="F36" s="83">
        <f t="shared" si="15"/>
        <v>14020090.728817482</v>
      </c>
      <c r="G36" s="83">
        <f t="shared" si="15"/>
        <v>14020090.728817482</v>
      </c>
      <c r="H36" s="83">
        <f t="shared" si="15"/>
        <v>14020090.728817482</v>
      </c>
      <c r="I36" s="83">
        <f t="shared" si="15"/>
        <v>14020090.728817482</v>
      </c>
      <c r="J36" s="83">
        <f t="shared" si="15"/>
        <v>14020090.728817482</v>
      </c>
      <c r="K36" s="83">
        <f t="shared" si="15"/>
        <v>14020090.728817482</v>
      </c>
      <c r="L36" s="83">
        <f t="shared" si="15"/>
        <v>14020090.728817482</v>
      </c>
      <c r="M36" s="83">
        <f t="shared" si="15"/>
        <v>14020090.728817482</v>
      </c>
      <c r="N36" s="83">
        <f t="shared" si="15"/>
        <v>14020090.728817482</v>
      </c>
      <c r="O36" s="83">
        <f t="shared" si="15"/>
        <v>14020090.728817482</v>
      </c>
      <c r="P36" s="83">
        <f t="shared" si="15"/>
        <v>14020090.728817482</v>
      </c>
      <c r="Q36" s="83">
        <f t="shared" si="15"/>
        <v>14020090.728817482</v>
      </c>
      <c r="R36" s="83">
        <f t="shared" si="15"/>
        <v>14020090.728817482</v>
      </c>
      <c r="S36" s="83">
        <f t="shared" si="15"/>
        <v>14020090.728817482</v>
      </c>
      <c r="T36" s="83">
        <f t="shared" si="15"/>
        <v>14020090.728817482</v>
      </c>
      <c r="U36" s="83">
        <f t="shared" si="15"/>
        <v>14020090.728817482</v>
      </c>
      <c r="V36" s="83">
        <f t="shared" si="15"/>
        <v>14020090.728817482</v>
      </c>
      <c r="W36" s="9"/>
      <c r="X36" s="9"/>
      <c r="Y36" s="9"/>
    </row>
    <row r="37" spans="1:27" x14ac:dyDescent="0.25">
      <c r="A37" s="86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9"/>
      <c r="X37" s="9"/>
      <c r="Y37" s="9"/>
      <c r="Z37" s="9"/>
      <c r="AA37" s="9"/>
    </row>
    <row r="38" spans="1:27" ht="30" x14ac:dyDescent="0.25">
      <c r="A38" s="85" t="s">
        <v>155</v>
      </c>
      <c r="B38" s="83"/>
      <c r="C38" s="83">
        <f>C33-C31</f>
        <v>-25546569.495999999</v>
      </c>
      <c r="D38" s="83">
        <f>D33-D31</f>
        <v>-104011032.948</v>
      </c>
      <c r="E38" s="83">
        <f>E33-E31</f>
        <v>-72990198.560000002</v>
      </c>
      <c r="F38" s="83">
        <f t="shared" ref="F38:V38" si="16">F35+F36</f>
        <v>33737358.947011203</v>
      </c>
      <c r="G38" s="83">
        <f t="shared" si="16"/>
        <v>82601082.162492588</v>
      </c>
      <c r="H38" s="83">
        <f t="shared" si="16"/>
        <v>85543916.403469816</v>
      </c>
      <c r="I38" s="83">
        <f t="shared" si="16"/>
        <v>88589941.268215016</v>
      </c>
      <c r="J38" s="83">
        <f t="shared" si="16"/>
        <v>91743444.923164293</v>
      </c>
      <c r="K38" s="83">
        <f t="shared" si="16"/>
        <v>95008939.575564757</v>
      </c>
      <c r="L38" s="83">
        <f t="shared" si="16"/>
        <v>84177177.28848286</v>
      </c>
      <c r="M38" s="83">
        <f t="shared" si="16"/>
        <v>101895158.06422038</v>
      </c>
      <c r="N38" s="83">
        <f t="shared" si="16"/>
        <v>105526160.98070811</v>
      </c>
      <c r="O38" s="83">
        <f t="shared" si="16"/>
        <v>109289747.29310577</v>
      </c>
      <c r="P38" s="83">
        <f t="shared" si="16"/>
        <v>113191786.76796387</v>
      </c>
      <c r="Q38" s="83">
        <f t="shared" si="16"/>
        <v>99232608.561328173</v>
      </c>
      <c r="R38" s="83">
        <f t="shared" si="16"/>
        <v>121436363.57683459</v>
      </c>
      <c r="S38" s="83">
        <f t="shared" si="16"/>
        <v>125792367.18055721</v>
      </c>
      <c r="T38" s="83">
        <f t="shared" si="16"/>
        <v>130313805.36255535</v>
      </c>
      <c r="U38" s="83">
        <f t="shared" si="16"/>
        <v>135008421.51779047</v>
      </c>
      <c r="V38" s="83">
        <f t="shared" si="16"/>
        <v>139884413.77168173</v>
      </c>
      <c r="W38" s="9"/>
      <c r="X38" s="9"/>
      <c r="Y38" s="9"/>
      <c r="Z38" s="9"/>
      <c r="AA38" s="9"/>
    </row>
    <row r="39" spans="1:27" ht="30" x14ac:dyDescent="0.25">
      <c r="A39" s="85" t="s">
        <v>44</v>
      </c>
      <c r="B39" s="83"/>
      <c r="C39" s="83">
        <f>C38</f>
        <v>-25546569.495999999</v>
      </c>
      <c r="D39" s="83">
        <f t="shared" ref="D39:V39" si="17">C39+D38</f>
        <v>-129557602.44400001</v>
      </c>
      <c r="E39" s="83">
        <f t="shared" si="17"/>
        <v>-202547801.00400001</v>
      </c>
      <c r="F39" s="83">
        <f t="shared" si="17"/>
        <v>-168810442.05698881</v>
      </c>
      <c r="G39" s="83">
        <f t="shared" si="17"/>
        <v>-86209359.894496217</v>
      </c>
      <c r="H39" s="83">
        <f t="shared" si="17"/>
        <v>-665443.49102640152</v>
      </c>
      <c r="I39" s="83">
        <f t="shared" si="17"/>
        <v>87924497.777188614</v>
      </c>
      <c r="J39" s="83">
        <f t="shared" si="17"/>
        <v>179667942.70035291</v>
      </c>
      <c r="K39" s="83">
        <f t="shared" si="17"/>
        <v>274676882.27591765</v>
      </c>
      <c r="L39" s="83">
        <f t="shared" si="17"/>
        <v>358854059.56440049</v>
      </c>
      <c r="M39" s="83">
        <f t="shared" si="17"/>
        <v>460749217.62862086</v>
      </c>
      <c r="N39" s="83">
        <f t="shared" si="17"/>
        <v>566275378.60932899</v>
      </c>
      <c r="O39" s="83">
        <f t="shared" si="17"/>
        <v>675565125.90243471</v>
      </c>
      <c r="P39" s="83">
        <f t="shared" si="17"/>
        <v>788756912.67039859</v>
      </c>
      <c r="Q39" s="83">
        <f t="shared" si="17"/>
        <v>887989521.23172677</v>
      </c>
      <c r="R39" s="83">
        <f t="shared" si="17"/>
        <v>1009425884.8085613</v>
      </c>
      <c r="S39" s="83">
        <f t="shared" si="17"/>
        <v>1135218251.9891186</v>
      </c>
      <c r="T39" s="83">
        <f t="shared" si="17"/>
        <v>1265532057.3516738</v>
      </c>
      <c r="U39" s="83">
        <f t="shared" si="17"/>
        <v>1400540478.8694644</v>
      </c>
      <c r="V39" s="83">
        <f t="shared" si="17"/>
        <v>1540424892.6411462</v>
      </c>
      <c r="W39" s="9"/>
      <c r="X39" s="9"/>
      <c r="Y39" s="9"/>
    </row>
    <row r="40" spans="1:27" x14ac:dyDescent="0.25">
      <c r="A40" s="68"/>
      <c r="B40" s="69"/>
      <c r="C40" s="69"/>
      <c r="D40" s="69"/>
      <c r="E40" s="69"/>
      <c r="F40" s="69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9"/>
      <c r="X40" s="9"/>
      <c r="Y40" s="9"/>
      <c r="Z40" s="9"/>
      <c r="AA40" s="9"/>
    </row>
    <row r="41" spans="1:27" x14ac:dyDescent="0.25">
      <c r="A41" s="66" t="s">
        <v>46</v>
      </c>
      <c r="B41" s="62">
        <f>NPV(B43,F38:V38)</f>
        <v>858695367.01532364</v>
      </c>
      <c r="C41" s="63"/>
      <c r="D41" s="60"/>
      <c r="E41" s="60"/>
      <c r="F41" s="60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9"/>
      <c r="X41" s="9"/>
      <c r="Y41" s="9"/>
    </row>
    <row r="42" spans="1:27" x14ac:dyDescent="0.25">
      <c r="A42" s="66" t="s">
        <v>47</v>
      </c>
      <c r="B42" s="64">
        <f>IRR(C39:V39,0.11)</f>
        <v>0.29172471505558373</v>
      </c>
      <c r="C42" s="60"/>
      <c r="D42" s="60"/>
      <c r="E42" s="60"/>
      <c r="F42" s="60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9"/>
      <c r="X42" s="9"/>
      <c r="Y42" s="9"/>
      <c r="Z42" s="9"/>
      <c r="AA42" s="9"/>
    </row>
    <row r="43" spans="1:27" x14ac:dyDescent="0.25">
      <c r="A43" s="66" t="s">
        <v>124</v>
      </c>
      <c r="B43" s="65">
        <v>0.08</v>
      </c>
      <c r="C43" s="60"/>
      <c r="D43" s="60"/>
      <c r="E43" s="60"/>
      <c r="F43" s="60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7" x14ac:dyDescent="0.25">
      <c r="A44" s="70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7" x14ac:dyDescent="0.25">
      <c r="A45" s="7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7" x14ac:dyDescent="0.25">
      <c r="A46" s="70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7" x14ac:dyDescent="0.25">
      <c r="A47" s="70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7" x14ac:dyDescent="0.25">
      <c r="A48" s="70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x14ac:dyDescent="0.25">
      <c r="A49" s="70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x14ac:dyDescent="0.25">
      <c r="A50" s="70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x14ac:dyDescent="0.25">
      <c r="A51" s="70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x14ac:dyDescent="0.25">
      <c r="A52" s="70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x14ac:dyDescent="0.25">
      <c r="A53" s="70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x14ac:dyDescent="0.25">
      <c r="A54" s="70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x14ac:dyDescent="0.25">
      <c r="A55" s="70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x14ac:dyDescent="0.25">
      <c r="A56" s="70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x14ac:dyDescent="0.25">
      <c r="A57" s="70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workbookViewId="0">
      <selection activeCell="I12" sqref="I12"/>
    </sheetView>
  </sheetViews>
  <sheetFormatPr defaultRowHeight="15" x14ac:dyDescent="0.25"/>
  <cols>
    <col min="1" max="1" width="20.85546875" customWidth="1"/>
    <col min="2" max="2" width="10" bestFit="1" customWidth="1"/>
    <col min="3" max="3" width="14.85546875" bestFit="1" customWidth="1"/>
  </cols>
  <sheetData>
    <row r="3" spans="1:6" x14ac:dyDescent="0.25">
      <c r="A3" t="s">
        <v>125</v>
      </c>
    </row>
    <row r="4" spans="1:6" x14ac:dyDescent="0.25">
      <c r="A4" s="59" t="s">
        <v>126</v>
      </c>
      <c r="B4" s="59">
        <v>3</v>
      </c>
      <c r="F4">
        <f>365*24</f>
        <v>8760</v>
      </c>
    </row>
    <row r="5" spans="1:6" x14ac:dyDescent="0.25">
      <c r="A5" s="59" t="s">
        <v>127</v>
      </c>
      <c r="B5" s="59">
        <v>3</v>
      </c>
      <c r="F5">
        <f>F4/3</f>
        <v>2920</v>
      </c>
    </row>
    <row r="6" spans="1:6" x14ac:dyDescent="0.25">
      <c r="A6" s="59" t="s">
        <v>128</v>
      </c>
      <c r="B6" s="59">
        <v>2</v>
      </c>
    </row>
    <row r="7" spans="1:6" x14ac:dyDescent="0.25">
      <c r="A7" s="59" t="s">
        <v>129</v>
      </c>
      <c r="B7" s="59">
        <f>B4*B5+B6</f>
        <v>11</v>
      </c>
    </row>
    <row r="8" spans="1:6" x14ac:dyDescent="0.25">
      <c r="A8" s="59" t="s">
        <v>151</v>
      </c>
      <c r="B8" s="59">
        <v>2920</v>
      </c>
    </row>
    <row r="9" spans="1:6" ht="30" x14ac:dyDescent="0.25">
      <c r="A9" s="57" t="s">
        <v>152</v>
      </c>
      <c r="B9" s="59">
        <f>20*2920</f>
        <v>58400</v>
      </c>
      <c r="C9" t="s">
        <v>130</v>
      </c>
    </row>
    <row r="10" spans="1:6" x14ac:dyDescent="0.25">
      <c r="A10" s="59" t="s">
        <v>131</v>
      </c>
      <c r="B10" s="59">
        <f>B9*11</f>
        <v>642400</v>
      </c>
    </row>
    <row r="11" spans="1:6" x14ac:dyDescent="0.25">
      <c r="A11" s="59" t="s">
        <v>132</v>
      </c>
      <c r="B11" s="59">
        <f>0.4*B10</f>
        <v>256960</v>
      </c>
    </row>
    <row r="12" spans="1:6" x14ac:dyDescent="0.25">
      <c r="A12" s="59" t="s">
        <v>133</v>
      </c>
      <c r="B12" s="59">
        <f>B10+B11</f>
        <v>899360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3" workbookViewId="0">
      <selection activeCell="G8" sqref="G8"/>
    </sheetView>
  </sheetViews>
  <sheetFormatPr defaultRowHeight="15" x14ac:dyDescent="0.25"/>
  <cols>
    <col min="1" max="1" width="9.28515625" bestFit="1" customWidth="1"/>
    <col min="2" max="2" width="15.5703125" bestFit="1" customWidth="1"/>
    <col min="3" max="3" width="15.5703125" customWidth="1"/>
    <col min="4" max="4" width="9.140625" style="4"/>
  </cols>
  <sheetData>
    <row r="1" spans="1:13" ht="30" x14ac:dyDescent="0.25">
      <c r="A1" s="24" t="s">
        <v>134</v>
      </c>
      <c r="B1" s="48" t="s">
        <v>46</v>
      </c>
      <c r="C1" s="48" t="s">
        <v>138</v>
      </c>
      <c r="D1" s="4" t="s">
        <v>47</v>
      </c>
      <c r="E1" s="22" t="s">
        <v>135</v>
      </c>
      <c r="J1" s="22" t="s">
        <v>136</v>
      </c>
      <c r="K1" s="22" t="s">
        <v>137</v>
      </c>
      <c r="L1" t="s">
        <v>46</v>
      </c>
      <c r="M1" t="s">
        <v>47</v>
      </c>
    </row>
    <row r="2" spans="1:13" x14ac:dyDescent="0.25">
      <c r="A2" s="48">
        <v>170</v>
      </c>
      <c r="B2" s="48">
        <v>-276011825.44681263</v>
      </c>
      <c r="C2" s="48">
        <f t="shared" ref="C2:C7" si="0">B2/1000000</f>
        <v>-276.01182544681262</v>
      </c>
      <c r="D2" s="4">
        <v>-6.6607769327532984E-2</v>
      </c>
      <c r="J2">
        <v>200</v>
      </c>
      <c r="K2">
        <v>45</v>
      </c>
      <c r="L2">
        <v>233631031.6960443</v>
      </c>
      <c r="M2" s="4">
        <v>0.10164860805590825</v>
      </c>
    </row>
    <row r="3" spans="1:13" x14ac:dyDescent="0.25">
      <c r="A3" s="48">
        <v>180</v>
      </c>
      <c r="B3" s="48">
        <v>-201368968.3039555</v>
      </c>
      <c r="C3" s="48">
        <f t="shared" si="0"/>
        <v>-201.36896830395548</v>
      </c>
      <c r="D3" s="4">
        <v>-1.835469771131415E-2</v>
      </c>
      <c r="J3">
        <v>200</v>
      </c>
    </row>
    <row r="4" spans="1:13" x14ac:dyDescent="0.25">
      <c r="A4" s="48">
        <v>190</v>
      </c>
      <c r="B4" s="48">
        <v>-126726111.16109863</v>
      </c>
      <c r="C4" s="48">
        <f t="shared" si="0"/>
        <v>-126.72611116109863</v>
      </c>
      <c r="D4" s="4">
        <v>1.2217231567797304E-2</v>
      </c>
      <c r="J4">
        <v>200</v>
      </c>
    </row>
    <row r="5" spans="1:13" x14ac:dyDescent="0.25">
      <c r="A5" s="54">
        <v>200</v>
      </c>
      <c r="B5" s="48">
        <v>-52083254.018241353</v>
      </c>
      <c r="C5" s="48">
        <f t="shared" si="0"/>
        <v>-52.083254018241355</v>
      </c>
      <c r="D5" s="4">
        <v>3.5835205400919667E-2</v>
      </c>
      <c r="E5" t="s">
        <v>139</v>
      </c>
      <c r="J5">
        <v>200</v>
      </c>
    </row>
    <row r="6" spans="1:13" x14ac:dyDescent="0.25">
      <c r="A6" s="54">
        <v>210</v>
      </c>
      <c r="B6" s="48">
        <v>22559603.124615725</v>
      </c>
      <c r="C6" s="48">
        <f t="shared" si="0"/>
        <v>22.559603124615727</v>
      </c>
      <c r="D6" s="4">
        <v>5.5717693554777625E-2</v>
      </c>
      <c r="J6">
        <v>200</v>
      </c>
    </row>
    <row r="7" spans="1:13" x14ac:dyDescent="0.25">
      <c r="A7" s="48">
        <v>220</v>
      </c>
      <c r="B7" s="48">
        <v>97202460.267472878</v>
      </c>
      <c r="C7" s="48">
        <f t="shared" si="0"/>
        <v>97.202460267472873</v>
      </c>
      <c r="D7" s="4">
        <v>7.3279449979839262E-2</v>
      </c>
      <c r="J7">
        <v>200</v>
      </c>
    </row>
    <row r="8" spans="1:13" x14ac:dyDescent="0.25">
      <c r="A8" s="48">
        <v>230</v>
      </c>
      <c r="B8" s="55">
        <v>171845317.41033009</v>
      </c>
      <c r="C8" s="48">
        <f>B8/1000000</f>
        <v>171.8453174103301</v>
      </c>
      <c r="D8" s="4">
        <v>8.9272189412370251E-2</v>
      </c>
      <c r="J8">
        <v>200</v>
      </c>
    </row>
    <row r="9" spans="1:13" x14ac:dyDescent="0.25">
      <c r="J9">
        <v>200</v>
      </c>
    </row>
    <row r="10" spans="1:13" x14ac:dyDescent="0.25">
      <c r="J10">
        <v>200</v>
      </c>
    </row>
    <row r="11" spans="1:13" x14ac:dyDescent="0.25">
      <c r="J11">
        <v>200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workbookViewId="0">
      <selection activeCell="I15" sqref="I15"/>
    </sheetView>
  </sheetViews>
  <sheetFormatPr defaultRowHeight="15" x14ac:dyDescent="0.25"/>
  <cols>
    <col min="11" max="11" width="10.85546875" customWidth="1"/>
    <col min="12" max="12" width="10.42578125" customWidth="1"/>
    <col min="13" max="13" width="13.140625" customWidth="1"/>
    <col min="14" max="15" width="11.140625" customWidth="1"/>
  </cols>
  <sheetData>
    <row r="2" spans="1:16" x14ac:dyDescent="0.25">
      <c r="A2" t="s">
        <v>169</v>
      </c>
      <c r="C2" t="s">
        <v>170</v>
      </c>
      <c r="N2" t="s">
        <v>156</v>
      </c>
    </row>
    <row r="3" spans="1:16" ht="45" x14ac:dyDescent="0.25">
      <c r="A3" t="s">
        <v>171</v>
      </c>
      <c r="C3" t="s">
        <v>172</v>
      </c>
      <c r="D3" t="s">
        <v>158</v>
      </c>
      <c r="H3" t="s">
        <v>157</v>
      </c>
      <c r="I3" t="s">
        <v>158</v>
      </c>
      <c r="J3" t="s">
        <v>159</v>
      </c>
      <c r="K3" t="s">
        <v>160</v>
      </c>
      <c r="L3" t="s">
        <v>161</v>
      </c>
      <c r="M3" t="s">
        <v>162</v>
      </c>
      <c r="N3" t="s">
        <v>163</v>
      </c>
      <c r="O3" s="22" t="s">
        <v>213</v>
      </c>
      <c r="P3" t="s">
        <v>164</v>
      </c>
    </row>
    <row r="4" spans="1:16" x14ac:dyDescent="0.25">
      <c r="B4" t="s">
        <v>173</v>
      </c>
      <c r="C4">
        <v>1256.9361200000001</v>
      </c>
      <c r="D4">
        <v>20.922294399999998</v>
      </c>
      <c r="F4" t="s">
        <v>165</v>
      </c>
      <c r="G4" t="s">
        <v>166</v>
      </c>
      <c r="H4">
        <v>3</v>
      </c>
      <c r="I4">
        <f>D4/H4</f>
        <v>6.9740981333333325</v>
      </c>
      <c r="J4">
        <f>I4*K4</f>
        <v>711.07904567466653</v>
      </c>
      <c r="K4">
        <v>101.96</v>
      </c>
      <c r="L4">
        <f>5/(60^2)</f>
        <v>1.3888888888888889E-3</v>
      </c>
      <c r="M4">
        <f>J4*L4</f>
        <v>0.98760978565925905</v>
      </c>
      <c r="N4">
        <v>56</v>
      </c>
      <c r="O4" s="22">
        <f>M4*24</f>
        <v>23.702634855822218</v>
      </c>
    </row>
    <row r="6" spans="1:16" x14ac:dyDescent="0.25">
      <c r="A6" t="s">
        <v>174</v>
      </c>
    </row>
    <row r="7" spans="1:16" x14ac:dyDescent="0.25">
      <c r="B7" t="s">
        <v>175</v>
      </c>
      <c r="C7">
        <v>6.3250299999999995E-2</v>
      </c>
      <c r="D7">
        <v>1.9724999999999999E-3</v>
      </c>
      <c r="F7" t="s">
        <v>165</v>
      </c>
      <c r="G7" t="s">
        <v>166</v>
      </c>
      <c r="H7">
        <v>2</v>
      </c>
      <c r="I7">
        <f>SUM(D7:D9)/H7</f>
        <v>59.965564400000005</v>
      </c>
      <c r="J7">
        <f>I7*K7</f>
        <v>6114.0889462240002</v>
      </c>
      <c r="K7">
        <v>101.96</v>
      </c>
      <c r="L7">
        <f t="shared" ref="L7:L22" si="0">5/(60^2)</f>
        <v>1.3888888888888889E-3</v>
      </c>
      <c r="M7">
        <f>J7*L7</f>
        <v>8.4917902030888897</v>
      </c>
      <c r="N7">
        <v>56</v>
      </c>
      <c r="O7">
        <f>M7*24</f>
        <v>203.80296487413335</v>
      </c>
    </row>
    <row r="8" spans="1:16" x14ac:dyDescent="0.25">
      <c r="B8" t="s">
        <v>176</v>
      </c>
      <c r="C8">
        <v>1925.2951800000001</v>
      </c>
      <c r="D8">
        <v>30.0523092</v>
      </c>
    </row>
    <row r="9" spans="1:16" x14ac:dyDescent="0.25">
      <c r="B9" t="s">
        <v>177</v>
      </c>
      <c r="C9">
        <v>3063.1719199999998</v>
      </c>
      <c r="D9">
        <v>89.876847100000006</v>
      </c>
    </row>
    <row r="11" spans="1:16" x14ac:dyDescent="0.25">
      <c r="A11" t="s">
        <v>178</v>
      </c>
    </row>
    <row r="12" spans="1:16" x14ac:dyDescent="0.25">
      <c r="B12" t="s">
        <v>175</v>
      </c>
      <c r="C12">
        <v>6.3195749999999995E-2</v>
      </c>
      <c r="D12">
        <v>1.9708E-3</v>
      </c>
      <c r="F12" t="s">
        <v>165</v>
      </c>
      <c r="G12" t="s">
        <v>166</v>
      </c>
      <c r="H12">
        <v>2</v>
      </c>
      <c r="I12">
        <f>SUM(D12:D14)/H12</f>
        <v>39.740192550000003</v>
      </c>
      <c r="J12">
        <f>I12*K12</f>
        <v>4051.9100323980001</v>
      </c>
      <c r="K12">
        <v>101.96</v>
      </c>
      <c r="L12">
        <f t="shared" si="0"/>
        <v>1.3888888888888889E-3</v>
      </c>
      <c r="M12">
        <f t="shared" ref="M12:M17" si="1">J12*L12</f>
        <v>5.6276528227750005</v>
      </c>
      <c r="N12">
        <v>56</v>
      </c>
      <c r="O12">
        <f>M12*24</f>
        <v>135.0636677466</v>
      </c>
    </row>
    <row r="13" spans="1:16" x14ac:dyDescent="0.25">
      <c r="B13" t="s">
        <v>176</v>
      </c>
      <c r="C13">
        <v>1061.5042000000001</v>
      </c>
      <c r="D13">
        <v>16.569226799999999</v>
      </c>
    </row>
    <row r="14" spans="1:16" x14ac:dyDescent="0.25">
      <c r="B14" t="s">
        <v>177</v>
      </c>
      <c r="C14">
        <v>2144.0633800000001</v>
      </c>
      <c r="D14">
        <v>62.909187500000002</v>
      </c>
    </row>
    <row r="16" spans="1:16" x14ac:dyDescent="0.25">
      <c r="A16" t="s">
        <v>179</v>
      </c>
    </row>
    <row r="17" spans="1:17" x14ac:dyDescent="0.25">
      <c r="B17" t="s">
        <v>175</v>
      </c>
      <c r="C17">
        <v>6.3086100000000006E-2</v>
      </c>
      <c r="D17">
        <v>1.9673799999999999E-3</v>
      </c>
      <c r="F17" t="s">
        <v>165</v>
      </c>
      <c r="G17" t="s">
        <v>166</v>
      </c>
      <c r="H17">
        <v>2</v>
      </c>
      <c r="I17">
        <f>SUM(D17:D19)/H17</f>
        <v>25.584280645</v>
      </c>
      <c r="J17">
        <f>I17*K17</f>
        <v>2608.5732545641999</v>
      </c>
      <c r="K17">
        <v>101.96</v>
      </c>
      <c r="L17">
        <f t="shared" si="0"/>
        <v>1.3888888888888889E-3</v>
      </c>
      <c r="M17">
        <f t="shared" si="1"/>
        <v>3.6230184091169444</v>
      </c>
      <c r="N17">
        <v>56</v>
      </c>
      <c r="O17">
        <f>M17*24</f>
        <v>86.952441818806662</v>
      </c>
    </row>
    <row r="18" spans="1:17" x14ac:dyDescent="0.25">
      <c r="B18" t="s">
        <v>176</v>
      </c>
      <c r="C18">
        <v>456.93519700000002</v>
      </c>
      <c r="D18">
        <v>7.1323909099999998</v>
      </c>
    </row>
    <row r="19" spans="1:17" x14ac:dyDescent="0.25">
      <c r="B19" t="s">
        <v>177</v>
      </c>
      <c r="C19">
        <v>1500.7684200000001</v>
      </c>
      <c r="D19">
        <v>44.034202999999998</v>
      </c>
    </row>
    <row r="20" spans="1:17" x14ac:dyDescent="0.25">
      <c r="Q20">
        <f>SUM(O4:O17)</f>
        <v>449.52170929536226</v>
      </c>
    </row>
    <row r="21" spans="1:17" x14ac:dyDescent="0.25">
      <c r="A21" t="s">
        <v>180</v>
      </c>
    </row>
    <row r="22" spans="1:17" x14ac:dyDescent="0.25">
      <c r="B22" t="s">
        <v>181</v>
      </c>
      <c r="C22">
        <v>134963.109</v>
      </c>
      <c r="D22">
        <v>4818.3213900000001</v>
      </c>
      <c r="F22" t="s">
        <v>167</v>
      </c>
      <c r="G22" t="s">
        <v>168</v>
      </c>
      <c r="H22">
        <v>1</v>
      </c>
      <c r="I22">
        <f>(2*D22)/H22</f>
        <v>9636.6427800000001</v>
      </c>
      <c r="J22">
        <f>I22*K22</f>
        <v>1590046.0586999999</v>
      </c>
      <c r="K22">
        <v>165</v>
      </c>
      <c r="L22">
        <f t="shared" si="0"/>
        <v>1.3888888888888889E-3</v>
      </c>
      <c r="M22">
        <f>J22*L22</f>
        <v>2208.39730375</v>
      </c>
      <c r="O22">
        <f>M22*24</f>
        <v>53001.53529</v>
      </c>
    </row>
    <row r="23" spans="1:17" x14ac:dyDescent="0.25">
      <c r="B23" t="s">
        <v>182</v>
      </c>
      <c r="C23">
        <v>22645.313099999999</v>
      </c>
      <c r="D23">
        <v>514.55160100000001</v>
      </c>
    </row>
    <row r="24" spans="1:17" x14ac:dyDescent="0.25">
      <c r="B24" t="s">
        <v>183</v>
      </c>
      <c r="C24">
        <v>3.9907051400000002</v>
      </c>
      <c r="D24">
        <v>0.24875427999999999</v>
      </c>
    </row>
    <row r="25" spans="1:17" x14ac:dyDescent="0.25">
      <c r="B25" t="s">
        <v>184</v>
      </c>
      <c r="C25">
        <v>0</v>
      </c>
      <c r="D25">
        <v>0</v>
      </c>
    </row>
    <row r="26" spans="1:17" x14ac:dyDescent="0.25">
      <c r="B26" t="s">
        <v>185</v>
      </c>
      <c r="C26">
        <v>5820.70064</v>
      </c>
      <c r="D26">
        <v>2887.4241699999998</v>
      </c>
    </row>
    <row r="27" spans="1:17" x14ac:dyDescent="0.25">
      <c r="B27" t="s">
        <v>87</v>
      </c>
      <c r="C27">
        <v>115742.55</v>
      </c>
      <c r="D27">
        <v>6424.6878200000001</v>
      </c>
    </row>
    <row r="29" spans="1:17" x14ac:dyDescent="0.25">
      <c r="A29" t="s">
        <v>186</v>
      </c>
    </row>
    <row r="30" spans="1:17" x14ac:dyDescent="0.25">
      <c r="B30" t="s">
        <v>177</v>
      </c>
      <c r="C30">
        <v>6.8354325999999999</v>
      </c>
      <c r="D30">
        <v>0.20055914</v>
      </c>
      <c r="F30" t="s">
        <v>187</v>
      </c>
      <c r="G30" t="s">
        <v>188</v>
      </c>
      <c r="H30">
        <v>1</v>
      </c>
      <c r="I30">
        <f>D30/H30</f>
        <v>0.20055914</v>
      </c>
      <c r="J30">
        <f>I30*K30</f>
        <v>16.323508404599998</v>
      </c>
      <c r="K30">
        <v>81.39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opLeftCell="A25" workbookViewId="0">
      <selection activeCell="B45" sqref="B45"/>
    </sheetView>
  </sheetViews>
  <sheetFormatPr defaultRowHeight="15" x14ac:dyDescent="0.25"/>
  <cols>
    <col min="2" max="2" width="14.5703125" customWidth="1"/>
    <col min="3" max="4" width="13.140625" customWidth="1"/>
    <col min="5" max="5" width="14.140625" customWidth="1"/>
    <col min="6" max="6" width="12.85546875" customWidth="1"/>
    <col min="7" max="7" width="13.85546875" customWidth="1"/>
    <col min="8" max="8" width="12.7109375" customWidth="1"/>
    <col min="9" max="9" width="13" customWidth="1"/>
    <col min="10" max="11" width="12.42578125" customWidth="1"/>
    <col min="12" max="12" width="14" customWidth="1"/>
    <col min="13" max="13" width="13.425781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21" x14ac:dyDescent="0.25">
      <c r="C1" s="5" t="s">
        <v>20</v>
      </c>
    </row>
    <row r="2" spans="1:21" x14ac:dyDescent="0.25">
      <c r="C2" s="5"/>
    </row>
    <row r="3" spans="1:21" x14ac:dyDescent="0.25">
      <c r="A3" t="s">
        <v>21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21" x14ac:dyDescent="0.25">
      <c r="A5" s="5" t="s">
        <v>22</v>
      </c>
      <c r="B5" s="52">
        <v>-50000000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 x14ac:dyDescent="0.25">
      <c r="A7" s="6" t="s">
        <v>23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1" x14ac:dyDescent="0.25"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 x14ac:dyDescent="0.25">
      <c r="A9" t="s">
        <v>24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1" x14ac:dyDescent="0.25">
      <c r="A10" t="s">
        <v>25</v>
      </c>
      <c r="B10" s="52"/>
      <c r="C10" s="53">
        <f>-B5</f>
        <v>50000000</v>
      </c>
      <c r="D10" s="53">
        <f>C10*1.02</f>
        <v>51000000</v>
      </c>
      <c r="E10" s="53">
        <f t="shared" ref="E10:S10" si="0">D10*1.02</f>
        <v>52020000</v>
      </c>
      <c r="F10" s="53">
        <f t="shared" si="0"/>
        <v>53060400</v>
      </c>
      <c r="G10" s="53">
        <f t="shared" si="0"/>
        <v>54121608</v>
      </c>
      <c r="H10" s="53">
        <f t="shared" si="0"/>
        <v>55204040.160000004</v>
      </c>
      <c r="I10" s="53">
        <f t="shared" si="0"/>
        <v>56308120.963200003</v>
      </c>
      <c r="J10" s="53">
        <f t="shared" si="0"/>
        <v>57434283.382464007</v>
      </c>
      <c r="K10" s="53">
        <f t="shared" si="0"/>
        <v>58582969.050113291</v>
      </c>
      <c r="L10" s="53">
        <f t="shared" si="0"/>
        <v>59754628.43111556</v>
      </c>
      <c r="M10" s="53">
        <f t="shared" si="0"/>
        <v>60949720.999737874</v>
      </c>
      <c r="N10" s="53">
        <f t="shared" si="0"/>
        <v>62168715.41973263</v>
      </c>
      <c r="O10" s="53">
        <f t="shared" si="0"/>
        <v>63412089.728127286</v>
      </c>
      <c r="P10" s="53">
        <f t="shared" si="0"/>
        <v>64680331.522689834</v>
      </c>
      <c r="Q10" s="53">
        <f t="shared" si="0"/>
        <v>65973938.153143629</v>
      </c>
      <c r="R10" s="53">
        <f t="shared" si="0"/>
        <v>67293416.916206509</v>
      </c>
      <c r="S10" s="53">
        <f t="shared" si="0"/>
        <v>68639285.254530638</v>
      </c>
      <c r="T10" s="52"/>
      <c r="U10" s="52"/>
    </row>
    <row r="11" spans="1:21" x14ac:dyDescent="0.25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 x14ac:dyDescent="0.25">
      <c r="A12" s="6" t="s">
        <v>26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x14ac:dyDescent="0.25">
      <c r="A14" s="7" t="s">
        <v>27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1" x14ac:dyDescent="0.25">
      <c r="A15" t="s">
        <v>28</v>
      </c>
      <c r="B15" s="52"/>
      <c r="C15" s="52">
        <f>IPMT(0.06,C3,17,$B$5,0)</f>
        <v>3000000</v>
      </c>
      <c r="D15" s="52">
        <f>IPMT(0.06,D3,17,$B$5,0)</f>
        <v>2893665.5873053493</v>
      </c>
      <c r="E15" s="52">
        <f t="shared" ref="E15:S15" si="1">IPMT(0.06,E3,17,$B$5,0)</f>
        <v>2780951.1098490208</v>
      </c>
      <c r="F15" s="52">
        <f t="shared" si="1"/>
        <v>2661473.7637453121</v>
      </c>
      <c r="G15" s="52">
        <f t="shared" si="1"/>
        <v>2534827.7768753818</v>
      </c>
      <c r="H15" s="52">
        <f t="shared" si="1"/>
        <v>2400583.0307932547</v>
      </c>
      <c r="I15" s="52">
        <f t="shared" si="1"/>
        <v>2258283.5999462008</v>
      </c>
      <c r="J15" s="52">
        <f t="shared" si="1"/>
        <v>2107446.2032483229</v>
      </c>
      <c r="K15" s="52">
        <f t="shared" si="1"/>
        <v>1947558.5627485726</v>
      </c>
      <c r="L15" s="52">
        <f t="shared" si="1"/>
        <v>1778077.6638188371</v>
      </c>
      <c r="M15" s="52">
        <f t="shared" si="1"/>
        <v>1598427.9109533178</v>
      </c>
      <c r="N15" s="52">
        <f t="shared" si="1"/>
        <v>1407999.1729158671</v>
      </c>
      <c r="O15" s="52">
        <f t="shared" si="1"/>
        <v>1206144.7105961698</v>
      </c>
      <c r="P15" s="52">
        <f t="shared" si="1"/>
        <v>992178.98053729022</v>
      </c>
      <c r="Q15" s="52">
        <f t="shared" si="1"/>
        <v>765375.30667487788</v>
      </c>
      <c r="R15" s="52">
        <f t="shared" si="1"/>
        <v>524963.41238072107</v>
      </c>
      <c r="S15" s="52">
        <f t="shared" si="1"/>
        <v>270126.80442891474</v>
      </c>
      <c r="T15" s="52"/>
      <c r="U15" s="52"/>
    </row>
    <row r="16" spans="1:21" x14ac:dyDescent="0.25">
      <c r="A16" t="s">
        <v>29</v>
      </c>
      <c r="B16" s="52"/>
      <c r="C16" s="52">
        <v>13432806</v>
      </c>
      <c r="D16" s="52">
        <f>C16*1.03</f>
        <v>13835790.18</v>
      </c>
      <c r="E16" s="52">
        <f t="shared" ref="E16:S16" si="2">D16*1.03</f>
        <v>14250863.885400001</v>
      </c>
      <c r="F16" s="52">
        <f t="shared" si="2"/>
        <v>14678389.801962001</v>
      </c>
      <c r="G16" s="52">
        <f t="shared" si="2"/>
        <v>15118741.496020861</v>
      </c>
      <c r="H16" s="52">
        <f t="shared" si="2"/>
        <v>15572303.740901487</v>
      </c>
      <c r="I16" s="52">
        <f t="shared" si="2"/>
        <v>16039472.853128532</v>
      </c>
      <c r="J16" s="52">
        <f t="shared" si="2"/>
        <v>16520657.038722388</v>
      </c>
      <c r="K16" s="52">
        <f t="shared" si="2"/>
        <v>17016276.749884062</v>
      </c>
      <c r="L16" s="52">
        <f t="shared" si="2"/>
        <v>17526765.052380584</v>
      </c>
      <c r="M16" s="52">
        <f t="shared" si="2"/>
        <v>18052568.003952004</v>
      </c>
      <c r="N16" s="52">
        <f t="shared" si="2"/>
        <v>18594145.044070564</v>
      </c>
      <c r="O16" s="52">
        <f t="shared" si="2"/>
        <v>19151969.395392682</v>
      </c>
      <c r="P16" s="52">
        <f t="shared" si="2"/>
        <v>19726528.477254465</v>
      </c>
      <c r="Q16" s="52">
        <f t="shared" si="2"/>
        <v>20318324.331572101</v>
      </c>
      <c r="R16" s="52">
        <f t="shared" si="2"/>
        <v>20927874.061519265</v>
      </c>
      <c r="S16" s="52">
        <f t="shared" si="2"/>
        <v>21555710.283364844</v>
      </c>
      <c r="T16" s="52"/>
      <c r="U16" s="52"/>
    </row>
    <row r="17" spans="1:21" x14ac:dyDescent="0.25">
      <c r="A17" t="s">
        <v>30</v>
      </c>
      <c r="B17" s="52"/>
      <c r="C17" s="52">
        <v>116000</v>
      </c>
      <c r="D17" s="52">
        <f>1.02*C17</f>
        <v>118320</v>
      </c>
      <c r="E17" s="52">
        <f t="shared" ref="E17:S17" si="3">1.02*D17</f>
        <v>120686.40000000001</v>
      </c>
      <c r="F17" s="52">
        <f t="shared" si="3"/>
        <v>123100.12800000001</v>
      </c>
      <c r="G17" s="52">
        <f t="shared" si="3"/>
        <v>125562.13056000002</v>
      </c>
      <c r="H17" s="52">
        <f t="shared" si="3"/>
        <v>128073.37317120002</v>
      </c>
      <c r="I17" s="52">
        <f t="shared" si="3"/>
        <v>130634.84063462402</v>
      </c>
      <c r="J17" s="52">
        <f t="shared" si="3"/>
        <v>133247.53744731651</v>
      </c>
      <c r="K17" s="52">
        <f t="shared" si="3"/>
        <v>135912.48819626286</v>
      </c>
      <c r="L17" s="52">
        <f t="shared" si="3"/>
        <v>138630.73796018813</v>
      </c>
      <c r="M17" s="52">
        <f t="shared" si="3"/>
        <v>141403.3527193919</v>
      </c>
      <c r="N17" s="52">
        <f t="shared" si="3"/>
        <v>144231.41977377975</v>
      </c>
      <c r="O17" s="52">
        <f t="shared" si="3"/>
        <v>147116.04816925534</v>
      </c>
      <c r="P17" s="52">
        <f t="shared" si="3"/>
        <v>150058.36913264045</v>
      </c>
      <c r="Q17" s="52">
        <f t="shared" si="3"/>
        <v>153059.53651529326</v>
      </c>
      <c r="R17" s="52">
        <f t="shared" si="3"/>
        <v>156120.72724559912</v>
      </c>
      <c r="S17" s="52">
        <f t="shared" si="3"/>
        <v>159243.14179051112</v>
      </c>
      <c r="T17" s="52"/>
      <c r="U17" s="52"/>
    </row>
    <row r="18" spans="1:21" x14ac:dyDescent="0.25">
      <c r="A18" t="s">
        <v>31</v>
      </c>
      <c r="B18" s="52"/>
      <c r="C18" s="52">
        <v>300000</v>
      </c>
      <c r="D18" s="52">
        <f t="shared" ref="D18:S19" si="4">1.02*C18</f>
        <v>306000</v>
      </c>
      <c r="E18" s="52">
        <f t="shared" si="4"/>
        <v>312120</v>
      </c>
      <c r="F18" s="52">
        <f t="shared" si="4"/>
        <v>318362.40000000002</v>
      </c>
      <c r="G18" s="52">
        <f t="shared" si="4"/>
        <v>324729.64800000004</v>
      </c>
      <c r="H18" s="52">
        <f t="shared" si="4"/>
        <v>331224.24096000002</v>
      </c>
      <c r="I18" s="52">
        <f t="shared" si="4"/>
        <v>337848.72577920003</v>
      </c>
      <c r="J18" s="52">
        <f t="shared" si="4"/>
        <v>344605.70029478404</v>
      </c>
      <c r="K18" s="52">
        <f t="shared" si="4"/>
        <v>351497.81430067972</v>
      </c>
      <c r="L18" s="52">
        <f t="shared" si="4"/>
        <v>358527.77058669331</v>
      </c>
      <c r="M18" s="52">
        <f t="shared" si="4"/>
        <v>365698.32599842717</v>
      </c>
      <c r="N18" s="52">
        <f t="shared" si="4"/>
        <v>373012.2925183957</v>
      </c>
      <c r="O18" s="52">
        <f t="shared" si="4"/>
        <v>380472.53836876363</v>
      </c>
      <c r="P18" s="52">
        <f t="shared" si="4"/>
        <v>388081.98913613893</v>
      </c>
      <c r="Q18" s="52">
        <f t="shared" si="4"/>
        <v>395843.62891886174</v>
      </c>
      <c r="R18" s="52">
        <f t="shared" si="4"/>
        <v>403760.50149723899</v>
      </c>
      <c r="S18" s="52">
        <f t="shared" si="4"/>
        <v>411835.71152718377</v>
      </c>
      <c r="T18" s="52"/>
      <c r="U18" s="52"/>
    </row>
    <row r="19" spans="1:21" x14ac:dyDescent="0.25">
      <c r="A19" t="s">
        <v>32</v>
      </c>
      <c r="B19" s="52"/>
      <c r="C19" s="52">
        <v>60000</v>
      </c>
      <c r="D19" s="52">
        <f t="shared" si="4"/>
        <v>61200</v>
      </c>
      <c r="E19" s="52">
        <f t="shared" si="4"/>
        <v>62424</v>
      </c>
      <c r="F19" s="52">
        <f t="shared" si="4"/>
        <v>63672.480000000003</v>
      </c>
      <c r="G19" s="52">
        <f t="shared" si="4"/>
        <v>64945.929600000003</v>
      </c>
      <c r="H19" s="52">
        <f t="shared" si="4"/>
        <v>66244.848192000005</v>
      </c>
      <c r="I19" s="52">
        <f t="shared" si="4"/>
        <v>67569.745155840006</v>
      </c>
      <c r="J19" s="52">
        <f t="shared" si="4"/>
        <v>68921.140058956807</v>
      </c>
      <c r="K19" s="52">
        <f t="shared" si="4"/>
        <v>70299.562860135949</v>
      </c>
      <c r="L19" s="52">
        <f t="shared" si="4"/>
        <v>71705.554117338674</v>
      </c>
      <c r="M19" s="52">
        <f t="shared" si="4"/>
        <v>73139.665199685449</v>
      </c>
      <c r="N19" s="52">
        <f t="shared" si="4"/>
        <v>74602.458503679154</v>
      </c>
      <c r="O19" s="52">
        <f t="shared" si="4"/>
        <v>76094.507673752742</v>
      </c>
      <c r="P19" s="52">
        <f t="shared" si="4"/>
        <v>77616.397827227804</v>
      </c>
      <c r="Q19" s="52">
        <f t="shared" si="4"/>
        <v>79168.725783772359</v>
      </c>
      <c r="R19" s="52">
        <f t="shared" si="4"/>
        <v>80752.100299447804</v>
      </c>
      <c r="S19" s="52">
        <f t="shared" si="4"/>
        <v>82367.142305436762</v>
      </c>
      <c r="T19" s="52"/>
      <c r="U19" s="52"/>
    </row>
    <row r="20" spans="1:21" x14ac:dyDescent="0.25"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 x14ac:dyDescent="0.25">
      <c r="A21" t="s">
        <v>33</v>
      </c>
      <c r="B21" s="52"/>
      <c r="C21" s="52">
        <v>2941176</v>
      </c>
      <c r="D21" s="52">
        <v>2941176</v>
      </c>
      <c r="E21" s="52">
        <v>2941176</v>
      </c>
      <c r="F21" s="52">
        <v>2941176</v>
      </c>
      <c r="G21" s="52">
        <v>2941176</v>
      </c>
      <c r="H21" s="52">
        <v>2941176</v>
      </c>
      <c r="I21" s="52">
        <v>2941176</v>
      </c>
      <c r="J21" s="52">
        <v>2941176</v>
      </c>
      <c r="K21" s="52">
        <v>2941176</v>
      </c>
      <c r="L21" s="52">
        <v>2941176</v>
      </c>
      <c r="M21" s="52">
        <v>2941176</v>
      </c>
      <c r="N21" s="52">
        <v>2941176</v>
      </c>
      <c r="O21" s="52">
        <v>2941176</v>
      </c>
      <c r="P21" s="52">
        <v>2941176</v>
      </c>
      <c r="Q21" s="52">
        <v>2941176</v>
      </c>
      <c r="R21" s="52">
        <v>2941176</v>
      </c>
      <c r="S21" s="52">
        <v>2941176</v>
      </c>
      <c r="T21" s="52"/>
      <c r="U21" s="52"/>
    </row>
    <row r="22" spans="1:21" x14ac:dyDescent="0.25">
      <c r="A22" t="s">
        <v>34</v>
      </c>
      <c r="B22" s="52"/>
      <c r="C22" s="52">
        <v>3113600</v>
      </c>
      <c r="D22" s="52">
        <f>1.03*C22</f>
        <v>3207008</v>
      </c>
      <c r="E22" s="52">
        <f t="shared" ref="E22:S22" si="5">1.03*D22</f>
        <v>3303218.24</v>
      </c>
      <c r="F22" s="52">
        <f t="shared" si="5"/>
        <v>3402314.7872000001</v>
      </c>
      <c r="G22" s="52">
        <f t="shared" si="5"/>
        <v>3504384.2308160001</v>
      </c>
      <c r="H22" s="52">
        <f t="shared" si="5"/>
        <v>3609515.7577404804</v>
      </c>
      <c r="I22" s="52">
        <f t="shared" si="5"/>
        <v>3717801.2304726951</v>
      </c>
      <c r="J22" s="52">
        <f t="shared" si="5"/>
        <v>3829335.267386876</v>
      </c>
      <c r="K22" s="52">
        <f t="shared" si="5"/>
        <v>3944215.3254084825</v>
      </c>
      <c r="L22" s="52">
        <f t="shared" si="5"/>
        <v>4062541.7851707372</v>
      </c>
      <c r="M22" s="52">
        <f t="shared" si="5"/>
        <v>4184418.0387258595</v>
      </c>
      <c r="N22" s="52">
        <f t="shared" si="5"/>
        <v>4309950.5798876351</v>
      </c>
      <c r="O22" s="52">
        <f t="shared" si="5"/>
        <v>4439249.0972842639</v>
      </c>
      <c r="P22" s="52">
        <f t="shared" si="5"/>
        <v>4572426.5702027921</v>
      </c>
      <c r="Q22" s="52">
        <f t="shared" si="5"/>
        <v>4709599.3673088755</v>
      </c>
      <c r="R22" s="52">
        <f t="shared" si="5"/>
        <v>4850887.3483281415</v>
      </c>
      <c r="S22" s="52">
        <f t="shared" si="5"/>
        <v>4996413.9687779862</v>
      </c>
      <c r="T22" s="52"/>
      <c r="U22" s="52"/>
    </row>
    <row r="23" spans="1:21" x14ac:dyDescent="0.25"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 x14ac:dyDescent="0.25">
      <c r="A24" t="s">
        <v>35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 x14ac:dyDescent="0.25">
      <c r="A25" t="s">
        <v>36</v>
      </c>
      <c r="B25" s="52"/>
      <c r="C25" s="52">
        <f>-0.03*B5</f>
        <v>1500000</v>
      </c>
      <c r="D25" s="52">
        <f>1.02*C25</f>
        <v>1530000</v>
      </c>
      <c r="E25" s="52">
        <f t="shared" ref="E25:S25" si="6">1.02*D25</f>
        <v>1560600</v>
      </c>
      <c r="F25" s="52">
        <f t="shared" si="6"/>
        <v>1591812</v>
      </c>
      <c r="G25" s="52">
        <f t="shared" si="6"/>
        <v>1623648.24</v>
      </c>
      <c r="H25" s="52">
        <f t="shared" si="6"/>
        <v>1656121.2047999999</v>
      </c>
      <c r="I25" s="52">
        <f t="shared" si="6"/>
        <v>1689243.6288959999</v>
      </c>
      <c r="J25" s="52">
        <f t="shared" si="6"/>
        <v>1723028.50147392</v>
      </c>
      <c r="K25" s="52">
        <f t="shared" si="6"/>
        <v>1757489.0715033985</v>
      </c>
      <c r="L25" s="52">
        <f t="shared" si="6"/>
        <v>1792638.8529334664</v>
      </c>
      <c r="M25" s="52">
        <f t="shared" si="6"/>
        <v>1828491.6299921358</v>
      </c>
      <c r="N25" s="52">
        <f t="shared" si="6"/>
        <v>1865061.4625919785</v>
      </c>
      <c r="O25" s="52">
        <f t="shared" si="6"/>
        <v>1902362.6918438182</v>
      </c>
      <c r="P25" s="52">
        <f t="shared" si="6"/>
        <v>1940409.9456806947</v>
      </c>
      <c r="Q25" s="52">
        <f t="shared" si="6"/>
        <v>1979218.1445943087</v>
      </c>
      <c r="R25" s="52">
        <f t="shared" si="6"/>
        <v>2018802.5074861948</v>
      </c>
      <c r="S25" s="52">
        <f t="shared" si="6"/>
        <v>2059178.5576359187</v>
      </c>
      <c r="T25" s="52"/>
      <c r="U25" s="52"/>
    </row>
    <row r="26" spans="1:21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 x14ac:dyDescent="0.25">
      <c r="A27" t="s">
        <v>0</v>
      </c>
      <c r="B27" s="52"/>
      <c r="C27" s="52">
        <v>10000000</v>
      </c>
      <c r="D27" s="52">
        <f>1.02*C27</f>
        <v>10200000</v>
      </c>
      <c r="E27" s="52">
        <f t="shared" ref="E27:S27" si="7">1.02*D27</f>
        <v>10404000</v>
      </c>
      <c r="F27" s="52">
        <f t="shared" si="7"/>
        <v>10612080</v>
      </c>
      <c r="G27" s="52">
        <f t="shared" si="7"/>
        <v>10824321.6</v>
      </c>
      <c r="H27" s="52">
        <f t="shared" si="7"/>
        <v>11040808.032</v>
      </c>
      <c r="I27" s="52">
        <f t="shared" si="7"/>
        <v>11261624.192639999</v>
      </c>
      <c r="J27" s="52">
        <f t="shared" si="7"/>
        <v>11486856.676492799</v>
      </c>
      <c r="K27" s="52">
        <f t="shared" si="7"/>
        <v>11716593.810022656</v>
      </c>
      <c r="L27" s="52">
        <f t="shared" si="7"/>
        <v>11950925.686223108</v>
      </c>
      <c r="M27" s="52">
        <f t="shared" si="7"/>
        <v>12189944.199947571</v>
      </c>
      <c r="N27" s="52">
        <f t="shared" si="7"/>
        <v>12433743.083946522</v>
      </c>
      <c r="O27" s="52">
        <f t="shared" si="7"/>
        <v>12682417.945625452</v>
      </c>
      <c r="P27" s="52">
        <f t="shared" si="7"/>
        <v>12936066.304537961</v>
      </c>
      <c r="Q27" s="52">
        <f t="shared" si="7"/>
        <v>13194787.63062872</v>
      </c>
      <c r="R27" s="52">
        <f t="shared" si="7"/>
        <v>13458683.383241294</v>
      </c>
      <c r="S27" s="52">
        <f t="shared" si="7"/>
        <v>13727857.05090612</v>
      </c>
      <c r="T27" s="52"/>
      <c r="U27" s="52"/>
    </row>
    <row r="28" spans="1:21" x14ac:dyDescent="0.2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 x14ac:dyDescent="0.25">
      <c r="A29" s="7" t="s">
        <v>37</v>
      </c>
      <c r="B29" s="52"/>
      <c r="C29" s="53">
        <f>SUM(C15:C28)</f>
        <v>34463582</v>
      </c>
      <c r="D29" s="53">
        <f t="shared" ref="D29:S29" si="8">SUM(D15:D28)</f>
        <v>35093159.767305344</v>
      </c>
      <c r="E29" s="53">
        <f t="shared" si="8"/>
        <v>35736039.635249019</v>
      </c>
      <c r="F29" s="53">
        <f t="shared" si="8"/>
        <v>36392381.360907316</v>
      </c>
      <c r="G29" s="53">
        <f t="shared" si="8"/>
        <v>37062337.051872239</v>
      </c>
      <c r="H29" s="53">
        <f t="shared" si="8"/>
        <v>37746050.228558414</v>
      </c>
      <c r="I29" s="53">
        <f t="shared" si="8"/>
        <v>38443654.816653095</v>
      </c>
      <c r="J29" s="53">
        <f t="shared" si="8"/>
        <v>39155274.065125361</v>
      </c>
      <c r="K29" s="53">
        <f t="shared" si="8"/>
        <v>39881019.384924248</v>
      </c>
      <c r="L29" s="53">
        <f t="shared" si="8"/>
        <v>40620989.103190951</v>
      </c>
      <c r="M29" s="53">
        <f t="shared" si="8"/>
        <v>41375267.12748839</v>
      </c>
      <c r="N29" s="53">
        <f t="shared" si="8"/>
        <v>42143921.514208421</v>
      </c>
      <c r="O29" s="53">
        <f t="shared" si="8"/>
        <v>42927002.934954159</v>
      </c>
      <c r="P29" s="53">
        <f t="shared" si="8"/>
        <v>43724543.034309208</v>
      </c>
      <c r="Q29" s="53">
        <f t="shared" si="8"/>
        <v>44536552.671996802</v>
      </c>
      <c r="R29" s="53">
        <f t="shared" si="8"/>
        <v>45363020.041997902</v>
      </c>
      <c r="S29" s="53">
        <f t="shared" si="8"/>
        <v>46203908.660736918</v>
      </c>
      <c r="T29" s="52"/>
      <c r="U29" s="52"/>
    </row>
    <row r="30" spans="1:21" x14ac:dyDescent="0.25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21" x14ac:dyDescent="0.25">
      <c r="A31" t="s">
        <v>38</v>
      </c>
      <c r="B31" s="52"/>
      <c r="C31" s="52">
        <f>C10-C29</f>
        <v>15536418</v>
      </c>
      <c r="D31" s="52">
        <f t="shared" ref="D31:S31" si="9">D10-D29</f>
        <v>15906840.232694656</v>
      </c>
      <c r="E31" s="52">
        <f t="shared" si="9"/>
        <v>16283960.364750981</v>
      </c>
      <c r="F31" s="52">
        <f t="shared" si="9"/>
        <v>16668018.639092684</v>
      </c>
      <c r="G31" s="52">
        <f t="shared" si="9"/>
        <v>17059270.948127761</v>
      </c>
      <c r="H31" s="52">
        <f t="shared" si="9"/>
        <v>17457989.93144159</v>
      </c>
      <c r="I31" s="52">
        <f t="shared" si="9"/>
        <v>17864466.146546908</v>
      </c>
      <c r="J31" s="52">
        <f t="shared" si="9"/>
        <v>18279009.317338645</v>
      </c>
      <c r="K31" s="52">
        <f t="shared" si="9"/>
        <v>18701949.665189043</v>
      </c>
      <c r="L31" s="52">
        <f t="shared" si="9"/>
        <v>19133639.327924609</v>
      </c>
      <c r="M31" s="52">
        <f t="shared" si="9"/>
        <v>19574453.872249484</v>
      </c>
      <c r="N31" s="52">
        <f t="shared" si="9"/>
        <v>20024793.905524209</v>
      </c>
      <c r="O31" s="52">
        <f t="shared" si="9"/>
        <v>20485086.793173127</v>
      </c>
      <c r="P31" s="52">
        <f t="shared" si="9"/>
        <v>20955788.488380626</v>
      </c>
      <c r="Q31" s="52">
        <f t="shared" si="9"/>
        <v>21437385.481146827</v>
      </c>
      <c r="R31" s="52">
        <f t="shared" si="9"/>
        <v>21930396.874208607</v>
      </c>
      <c r="S31" s="52">
        <f t="shared" si="9"/>
        <v>22435376.59379372</v>
      </c>
      <c r="T31" s="52"/>
      <c r="U31" s="52"/>
    </row>
    <row r="32" spans="1:21" x14ac:dyDescent="0.25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 x14ac:dyDescent="0.25">
      <c r="A33" t="s">
        <v>39</v>
      </c>
      <c r="B33" s="52"/>
      <c r="C33" s="52">
        <f>C31*0.4</f>
        <v>6214567.2000000002</v>
      </c>
      <c r="D33" s="52">
        <f t="shared" ref="D33:S33" si="10">D31*0.4</f>
        <v>6362736.0930778626</v>
      </c>
      <c r="E33" s="52">
        <f t="shared" si="10"/>
        <v>6513584.1459003929</v>
      </c>
      <c r="F33" s="52">
        <f t="shared" si="10"/>
        <v>6667207.4556370741</v>
      </c>
      <c r="G33" s="52">
        <f t="shared" si="10"/>
        <v>6823708.3792511048</v>
      </c>
      <c r="H33" s="52">
        <f t="shared" si="10"/>
        <v>6983195.9725766368</v>
      </c>
      <c r="I33" s="52">
        <f t="shared" si="10"/>
        <v>7145786.4586187638</v>
      </c>
      <c r="J33" s="52">
        <f t="shared" si="10"/>
        <v>7311603.7269354584</v>
      </c>
      <c r="K33" s="52">
        <f t="shared" si="10"/>
        <v>7480779.8660756173</v>
      </c>
      <c r="L33" s="52">
        <f t="shared" si="10"/>
        <v>7653455.731169844</v>
      </c>
      <c r="M33" s="52">
        <f t="shared" si="10"/>
        <v>7829781.548899794</v>
      </c>
      <c r="N33" s="52">
        <f t="shared" si="10"/>
        <v>8009917.5622096844</v>
      </c>
      <c r="O33" s="52">
        <f t="shared" si="10"/>
        <v>8194034.7172692511</v>
      </c>
      <c r="P33" s="52">
        <f t="shared" si="10"/>
        <v>8382315.3953522509</v>
      </c>
      <c r="Q33" s="52">
        <f t="shared" si="10"/>
        <v>8574954.1924587321</v>
      </c>
      <c r="R33" s="52">
        <f t="shared" si="10"/>
        <v>8772158.7496834435</v>
      </c>
      <c r="S33" s="52">
        <f t="shared" si="10"/>
        <v>8974150.6375174876</v>
      </c>
      <c r="T33" s="52"/>
      <c r="U33" s="52"/>
    </row>
    <row r="34" spans="1:21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1" x14ac:dyDescent="0.25">
      <c r="A35" t="s">
        <v>40</v>
      </c>
      <c r="B35" s="52"/>
      <c r="C35" s="52">
        <f>C31-C33</f>
        <v>9321850.8000000007</v>
      </c>
      <c r="D35" s="52">
        <f t="shared" ref="D35:S35" si="11">D31-D33</f>
        <v>9544104.139616793</v>
      </c>
      <c r="E35" s="52">
        <f t="shared" si="11"/>
        <v>9770376.2188505884</v>
      </c>
      <c r="F35" s="52">
        <f t="shared" si="11"/>
        <v>10000811.183455609</v>
      </c>
      <c r="G35" s="52">
        <f t="shared" si="11"/>
        <v>10235562.568876658</v>
      </c>
      <c r="H35" s="52">
        <f t="shared" si="11"/>
        <v>10474793.958864953</v>
      </c>
      <c r="I35" s="52">
        <f t="shared" si="11"/>
        <v>10718679.687928144</v>
      </c>
      <c r="J35" s="52">
        <f t="shared" si="11"/>
        <v>10967405.590403188</v>
      </c>
      <c r="K35" s="52">
        <f t="shared" si="11"/>
        <v>11221169.799113426</v>
      </c>
      <c r="L35" s="52">
        <f t="shared" si="11"/>
        <v>11480183.596754765</v>
      </c>
      <c r="M35" s="52">
        <f t="shared" si="11"/>
        <v>11744672.32334969</v>
      </c>
      <c r="N35" s="52">
        <f t="shared" si="11"/>
        <v>12014876.343314525</v>
      </c>
      <c r="O35" s="52">
        <f t="shared" si="11"/>
        <v>12291052.075903876</v>
      </c>
      <c r="P35" s="52">
        <f t="shared" si="11"/>
        <v>12573473.093028374</v>
      </c>
      <c r="Q35" s="52">
        <f t="shared" si="11"/>
        <v>12862431.288688095</v>
      </c>
      <c r="R35" s="52">
        <f t="shared" si="11"/>
        <v>13158238.124525163</v>
      </c>
      <c r="S35" s="52">
        <f t="shared" si="11"/>
        <v>13461225.956276232</v>
      </c>
      <c r="T35" s="52"/>
      <c r="U35" s="52"/>
    </row>
    <row r="36" spans="1:21" x14ac:dyDescent="0.25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1" x14ac:dyDescent="0.25">
      <c r="A37" t="s">
        <v>41</v>
      </c>
      <c r="B37" s="52"/>
      <c r="C37" s="52">
        <f>C21</f>
        <v>2941176</v>
      </c>
      <c r="D37" s="52">
        <f t="shared" ref="D37:S37" si="12">D21</f>
        <v>2941176</v>
      </c>
      <c r="E37" s="52">
        <f t="shared" si="12"/>
        <v>2941176</v>
      </c>
      <c r="F37" s="52">
        <f t="shared" si="12"/>
        <v>2941176</v>
      </c>
      <c r="G37" s="52">
        <f t="shared" si="12"/>
        <v>2941176</v>
      </c>
      <c r="H37" s="52">
        <f t="shared" si="12"/>
        <v>2941176</v>
      </c>
      <c r="I37" s="52">
        <f t="shared" si="12"/>
        <v>2941176</v>
      </c>
      <c r="J37" s="52">
        <f t="shared" si="12"/>
        <v>2941176</v>
      </c>
      <c r="K37" s="52">
        <f t="shared" si="12"/>
        <v>2941176</v>
      </c>
      <c r="L37" s="52">
        <f t="shared" si="12"/>
        <v>2941176</v>
      </c>
      <c r="M37" s="52">
        <f t="shared" si="12"/>
        <v>2941176</v>
      </c>
      <c r="N37" s="52">
        <f t="shared" si="12"/>
        <v>2941176</v>
      </c>
      <c r="O37" s="52">
        <f t="shared" si="12"/>
        <v>2941176</v>
      </c>
      <c r="P37" s="52">
        <f t="shared" si="12"/>
        <v>2941176</v>
      </c>
      <c r="Q37" s="52">
        <f t="shared" si="12"/>
        <v>2941176</v>
      </c>
      <c r="R37" s="52">
        <f t="shared" si="12"/>
        <v>2941176</v>
      </c>
      <c r="S37" s="52">
        <f t="shared" si="12"/>
        <v>2941176</v>
      </c>
      <c r="T37" s="52"/>
      <c r="U37" s="52"/>
    </row>
    <row r="38" spans="1:21" x14ac:dyDescent="0.25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</row>
    <row r="39" spans="1:21" x14ac:dyDescent="0.25">
      <c r="A39" t="s">
        <v>42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</row>
    <row r="40" spans="1:21" x14ac:dyDescent="0.25">
      <c r="A40" t="s">
        <v>43</v>
      </c>
      <c r="B40" s="52">
        <f>B5</f>
        <v>-50000000</v>
      </c>
      <c r="C40" s="52">
        <f>C35+C37</f>
        <v>12263026.800000001</v>
      </c>
      <c r="D40" s="52">
        <f t="shared" ref="D40:S40" si="13">D35+D37</f>
        <v>12485280.139616793</v>
      </c>
      <c r="E40" s="52">
        <f t="shared" si="13"/>
        <v>12711552.218850588</v>
      </c>
      <c r="F40" s="52">
        <f t="shared" si="13"/>
        <v>12941987.183455609</v>
      </c>
      <c r="G40" s="52">
        <f t="shared" si="13"/>
        <v>13176738.568876658</v>
      </c>
      <c r="H40" s="52">
        <f t="shared" si="13"/>
        <v>13415969.958864953</v>
      </c>
      <c r="I40" s="52">
        <f t="shared" si="13"/>
        <v>13659855.687928144</v>
      </c>
      <c r="J40" s="52">
        <f t="shared" si="13"/>
        <v>13908581.590403188</v>
      </c>
      <c r="K40" s="52">
        <f t="shared" si="13"/>
        <v>14162345.799113426</v>
      </c>
      <c r="L40" s="52">
        <f t="shared" si="13"/>
        <v>14421359.596754765</v>
      </c>
      <c r="M40" s="52">
        <f t="shared" si="13"/>
        <v>14685848.32334969</v>
      </c>
      <c r="N40" s="52">
        <f t="shared" si="13"/>
        <v>14956052.343314525</v>
      </c>
      <c r="O40" s="52">
        <f t="shared" si="13"/>
        <v>15232228.075903876</v>
      </c>
      <c r="P40" s="52">
        <f t="shared" si="13"/>
        <v>15514649.093028374</v>
      </c>
      <c r="Q40" s="52">
        <f t="shared" si="13"/>
        <v>15803607.288688095</v>
      </c>
      <c r="R40" s="52">
        <f t="shared" si="13"/>
        <v>16099414.124525163</v>
      </c>
      <c r="S40" s="52">
        <f t="shared" si="13"/>
        <v>16402401.956276232</v>
      </c>
      <c r="T40" s="52"/>
      <c r="U40" s="52"/>
    </row>
    <row r="41" spans="1:21" x14ac:dyDescent="0.25"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</row>
    <row r="42" spans="1:21" x14ac:dyDescent="0.25">
      <c r="A42" t="s">
        <v>44</v>
      </c>
      <c r="B42" s="52"/>
      <c r="C42" s="52">
        <f>C40</f>
        <v>12263026.800000001</v>
      </c>
      <c r="D42" s="52">
        <f t="shared" ref="D42:M42" si="14">C42+D40</f>
        <v>24748306.939616792</v>
      </c>
      <c r="E42" s="52">
        <f t="shared" si="14"/>
        <v>37459859.158467382</v>
      </c>
      <c r="F42" s="52">
        <f t="shared" si="14"/>
        <v>50401846.341922991</v>
      </c>
      <c r="G42" s="52">
        <f t="shared" si="14"/>
        <v>63578584.910799652</v>
      </c>
      <c r="H42" s="52">
        <f t="shared" si="14"/>
        <v>76994554.869664609</v>
      </c>
      <c r="I42" s="52">
        <f t="shared" si="14"/>
        <v>90654410.55759275</v>
      </c>
      <c r="J42" s="52">
        <f t="shared" si="14"/>
        <v>104562992.14799593</v>
      </c>
      <c r="K42" s="52">
        <f t="shared" si="14"/>
        <v>118725337.94710936</v>
      </c>
      <c r="L42" s="52">
        <f t="shared" si="14"/>
        <v>133146697.54386412</v>
      </c>
      <c r="M42" s="52">
        <f t="shared" si="14"/>
        <v>147832545.86721382</v>
      </c>
      <c r="N42" s="52"/>
      <c r="O42" s="52"/>
      <c r="P42" s="52"/>
      <c r="Q42" s="52"/>
      <c r="R42" s="52"/>
      <c r="S42" s="52"/>
      <c r="T42" s="52"/>
      <c r="U42" s="52"/>
    </row>
    <row r="43" spans="1:21" x14ac:dyDescent="0.25">
      <c r="B43" s="52"/>
      <c r="C43" s="52"/>
      <c r="D43" s="52"/>
      <c r="E43" s="52"/>
      <c r="F43" s="52" t="s">
        <v>45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</row>
    <row r="44" spans="1:21" x14ac:dyDescent="0.25">
      <c r="A44" t="s">
        <v>46</v>
      </c>
      <c r="B44" s="8">
        <f>NPV(B47,B40:S40)</f>
        <v>69971244.576504782</v>
      </c>
      <c r="C44" s="3"/>
    </row>
    <row r="45" spans="1:21" x14ac:dyDescent="0.25">
      <c r="A45" t="s">
        <v>47</v>
      </c>
      <c r="B45" s="4">
        <f>IRR(B40:S40,0.11)</f>
        <v>0.25657388207353571</v>
      </c>
    </row>
    <row r="46" spans="1:21" x14ac:dyDescent="0.25">
      <c r="B46" s="4"/>
    </row>
    <row r="47" spans="1:21" x14ac:dyDescent="0.25">
      <c r="A47" t="s">
        <v>48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E11" sqref="E11"/>
    </sheetView>
  </sheetViews>
  <sheetFormatPr defaultRowHeight="15" x14ac:dyDescent="0.25"/>
  <cols>
    <col min="1" max="1" width="19.7109375" customWidth="1"/>
    <col min="2" max="2" width="11.42578125" customWidth="1"/>
    <col min="3" max="3" width="16.28515625" bestFit="1" customWidth="1"/>
    <col min="5" max="5" width="15.28515625" bestFit="1" customWidth="1"/>
  </cols>
  <sheetData>
    <row r="3" spans="1:5" x14ac:dyDescent="0.25">
      <c r="A3">
        <v>30311530</v>
      </c>
      <c r="B3">
        <v>11492800</v>
      </c>
      <c r="C3" t="s">
        <v>219</v>
      </c>
    </row>
    <row r="4" spans="1:5" x14ac:dyDescent="0.25">
      <c r="A4">
        <v>135099254</v>
      </c>
      <c r="B4">
        <v>1259130</v>
      </c>
      <c r="C4" t="s">
        <v>220</v>
      </c>
    </row>
    <row r="5" spans="1:5" x14ac:dyDescent="0.25">
      <c r="A5">
        <v>13837950</v>
      </c>
      <c r="B5">
        <v>4753710</v>
      </c>
      <c r="C5" t="s">
        <v>221</v>
      </c>
    </row>
    <row r="6" spans="1:5" x14ac:dyDescent="0.25">
      <c r="A6">
        <v>2709352.3999999994</v>
      </c>
      <c r="B6">
        <v>1184633</v>
      </c>
      <c r="C6" t="s">
        <v>222</v>
      </c>
    </row>
    <row r="7" spans="1:5" x14ac:dyDescent="0.25">
      <c r="A7">
        <v>517410</v>
      </c>
      <c r="B7">
        <v>253500</v>
      </c>
      <c r="C7" t="s">
        <v>223</v>
      </c>
    </row>
    <row r="8" spans="1:5" x14ac:dyDescent="0.25">
      <c r="A8" s="9">
        <v>182475496.40000001</v>
      </c>
      <c r="B8">
        <v>18943773</v>
      </c>
      <c r="C8" t="s">
        <v>214</v>
      </c>
    </row>
    <row r="11" spans="1:5" x14ac:dyDescent="0.25">
      <c r="A11" t="s">
        <v>217</v>
      </c>
      <c r="C11" s="91">
        <v>19370946.709897202</v>
      </c>
      <c r="E11" t="s">
        <v>224</v>
      </c>
    </row>
    <row r="12" spans="1:5" x14ac:dyDescent="0.25">
      <c r="A12" t="s">
        <v>215</v>
      </c>
      <c r="C12" s="9">
        <f>A8*0.15</f>
        <v>27371324.460000001</v>
      </c>
      <c r="E12" s="67">
        <f>C12+C13</f>
        <v>36495099.280000001</v>
      </c>
    </row>
    <row r="13" spans="1:5" x14ac:dyDescent="0.25">
      <c r="A13" t="s">
        <v>216</v>
      </c>
      <c r="C13" s="9">
        <f>A8*0.05</f>
        <v>9123774.8200000003</v>
      </c>
    </row>
    <row r="15" spans="1:5" x14ac:dyDescent="0.25">
      <c r="C15" s="9">
        <f>A8+C12+C13+C11</f>
        <v>238341542.3898972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Equipement List</vt:lpstr>
      <vt:lpstr>Raw Materials</vt:lpstr>
      <vt:lpstr>Utilities</vt:lpstr>
      <vt:lpstr>Economics</vt:lpstr>
      <vt:lpstr>labor</vt:lpstr>
      <vt:lpstr>Graphs</vt:lpstr>
      <vt:lpstr>Catalyst </vt:lpstr>
      <vt:lpstr>Jerry's Sample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2011-02-25T21:23:58Z</dcterms:created>
  <dcterms:modified xsi:type="dcterms:W3CDTF">2011-04-02T00:22:52Z</dcterms:modified>
</cp:coreProperties>
</file>