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855" windowWidth="15120" windowHeight="6960" firstSheet="1" activeTab="3"/>
  </bookViews>
  <sheets>
    <sheet name="Equip list and discrip" sheetId="11" r:id="rId1"/>
    <sheet name="Raw Materials" sheetId="4" r:id="rId2"/>
    <sheet name="Utilities" sheetId="5" r:id="rId3"/>
    <sheet name="Economics" sheetId="2" r:id="rId4"/>
    <sheet name="labor" sheetId="6" r:id="rId5"/>
    <sheet name="Graphs" sheetId="7" r:id="rId6"/>
    <sheet name="Catalyst " sheetId="8" r:id="rId7"/>
    <sheet name="Jerry's Sample" sheetId="3" r:id="rId8"/>
    <sheet name="Sheet3" sheetId="9" r:id="rId9"/>
    <sheet name="Sheet1" sheetId="10" r:id="rId10"/>
  </sheets>
  <externalReferences>
    <externalReference r:id="rId11"/>
  </externalReferences>
  <calcPr calcId="1257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G10" i="2"/>
  <c r="F10"/>
  <c r="F23"/>
  <c r="C15" i="9"/>
  <c r="C14"/>
  <c r="D17" i="2"/>
  <c r="C17"/>
  <c r="E17" s="1"/>
  <c r="E16"/>
  <c r="D16"/>
  <c r="C16"/>
  <c r="C15"/>
  <c r="C31" s="1"/>
  <c r="C12" i="9"/>
  <c r="C13" l="1"/>
  <c r="G9" i="2"/>
  <c r="F9"/>
  <c r="E15" i="3"/>
  <c r="E13"/>
  <c r="D13"/>
  <c r="C13"/>
  <c r="T13"/>
  <c r="F13"/>
  <c r="G13"/>
  <c r="H13"/>
  <c r="I13"/>
  <c r="J13"/>
  <c r="K13"/>
  <c r="L13"/>
  <c r="M13"/>
  <c r="N13"/>
  <c r="O13"/>
  <c r="P13"/>
  <c r="Q13"/>
  <c r="R13"/>
  <c r="S13"/>
  <c r="C14"/>
  <c r="T15"/>
  <c r="E14"/>
  <c r="F14"/>
  <c r="G14"/>
  <c r="H14"/>
  <c r="I14"/>
  <c r="J14"/>
  <c r="K14"/>
  <c r="L14"/>
  <c r="M14"/>
  <c r="N14"/>
  <c r="O14"/>
  <c r="P14"/>
  <c r="Q14"/>
  <c r="R14"/>
  <c r="S14"/>
  <c r="D14"/>
  <c r="C15"/>
  <c r="D15"/>
  <c r="F15"/>
  <c r="G15"/>
  <c r="H15"/>
  <c r="I15"/>
  <c r="J15"/>
  <c r="K15"/>
  <c r="L15"/>
  <c r="M15"/>
  <c r="N15"/>
  <c r="O15"/>
  <c r="P15"/>
  <c r="Q15"/>
  <c r="R15"/>
  <c r="S15"/>
  <c r="F29" i="2"/>
  <c r="G29"/>
  <c r="G23"/>
  <c r="F30"/>
  <c r="H4" i="4"/>
  <c r="H3"/>
  <c r="F26" i="2"/>
  <c r="G26" s="1"/>
  <c r="G21"/>
  <c r="F21" s="1"/>
  <c r="T14" i="3" l="1"/>
  <c r="F22" i="2" l="1"/>
  <c r="G22"/>
  <c r="I59" i="8"/>
  <c r="I58"/>
  <c r="I57"/>
  <c r="I56"/>
  <c r="I60"/>
  <c r="G30" i="2" s="1"/>
  <c r="H30" s="1"/>
  <c r="I30" s="1"/>
  <c r="J30" s="1"/>
  <c r="K30" s="1"/>
  <c r="L30" s="1"/>
  <c r="M30" s="1"/>
  <c r="N30" s="1"/>
  <c r="O30" s="1"/>
  <c r="P30" s="1"/>
  <c r="Q30" s="1"/>
  <c r="R30" s="1"/>
  <c r="S30" s="1"/>
  <c r="T30" s="1"/>
  <c r="U30" s="1"/>
  <c r="V30" s="1"/>
  <c r="D5" i="6" l="1"/>
  <c r="D6"/>
  <c r="D7"/>
  <c r="D8"/>
  <c r="D9"/>
  <c r="D10"/>
  <c r="D12"/>
  <c r="D11"/>
  <c r="F10"/>
  <c r="H13" i="11" l="1"/>
  <c r="P13"/>
  <c r="X13"/>
  <c r="AF13"/>
  <c r="AN13"/>
  <c r="P14"/>
  <c r="X14"/>
  <c r="AF14"/>
  <c r="AN14"/>
  <c r="H15"/>
  <c r="N15"/>
  <c r="P15"/>
  <c r="X15"/>
  <c r="AF15"/>
  <c r="AN15"/>
  <c r="H16"/>
  <c r="N16"/>
  <c r="P16" s="1"/>
  <c r="X16"/>
  <c r="AF16"/>
  <c r="AN16"/>
  <c r="H17"/>
  <c r="P17"/>
  <c r="X17"/>
  <c r="AD17"/>
  <c r="AN17"/>
  <c r="H18"/>
  <c r="P18"/>
  <c r="X18"/>
  <c r="AN18"/>
  <c r="F19"/>
  <c r="H19"/>
  <c r="P19"/>
  <c r="X19"/>
  <c r="AN19"/>
  <c r="P20"/>
  <c r="X20"/>
  <c r="AN20"/>
  <c r="N21"/>
  <c r="X21"/>
  <c r="AN21"/>
  <c r="X22"/>
  <c r="AN22"/>
  <c r="X23"/>
  <c r="C23" s="1"/>
  <c r="AN23"/>
  <c r="C24"/>
  <c r="X24"/>
  <c r="AN24"/>
  <c r="V25"/>
  <c r="X25"/>
  <c r="AN25"/>
  <c r="AN26"/>
  <c r="AN27"/>
  <c r="AN28"/>
  <c r="AN29"/>
  <c r="AN30"/>
  <c r="AN31"/>
  <c r="AN33"/>
  <c r="AL36"/>
  <c r="C22" l="1"/>
  <c r="C25" s="1"/>
  <c r="B23"/>
  <c r="B21"/>
  <c r="AF17"/>
  <c r="P21"/>
  <c r="AN36"/>
  <c r="G60" i="8" l="1"/>
  <c r="C61" i="2"/>
  <c r="C62" s="1"/>
  <c r="C63" s="1"/>
  <c r="C64" s="1"/>
  <c r="C65" s="1"/>
  <c r="H9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B15" i="6"/>
  <c r="D15"/>
  <c r="F15"/>
  <c r="B13"/>
  <c r="F5"/>
  <c r="F6"/>
  <c r="F7"/>
  <c r="F8"/>
  <c r="F9"/>
  <c r="F11"/>
  <c r="F13"/>
  <c r="D14" s="1"/>
  <c r="F14"/>
  <c r="F16"/>
  <c r="C49" i="8"/>
  <c r="H33"/>
  <c r="I33" s="1"/>
  <c r="H34"/>
  <c r="I34" s="1"/>
  <c r="D13" i="6" l="1"/>
  <c r="D52" i="2"/>
  <c r="E52"/>
  <c r="C52"/>
  <c r="C50"/>
  <c r="D50"/>
  <c r="G49"/>
  <c r="H49"/>
  <c r="I49"/>
  <c r="J49"/>
  <c r="K49"/>
  <c r="L49"/>
  <c r="M49"/>
  <c r="N49"/>
  <c r="O49"/>
  <c r="P49"/>
  <c r="Q49"/>
  <c r="R49"/>
  <c r="S49"/>
  <c r="T49"/>
  <c r="U49"/>
  <c r="V49"/>
  <c r="D48"/>
  <c r="C48"/>
  <c r="G4" i="4" l="1"/>
  <c r="F15" i="2" l="1"/>
  <c r="F16"/>
  <c r="E12" i="9"/>
  <c r="D15" i="2"/>
  <c r="E15"/>
  <c r="B7"/>
  <c r="F48"/>
  <c r="G28" l="1"/>
  <c r="F28"/>
  <c r="D25"/>
  <c r="E25" s="1"/>
  <c r="C49"/>
  <c r="F49"/>
  <c r="F25" l="1"/>
  <c r="G25" s="1"/>
  <c r="D49"/>
  <c r="E49"/>
  <c r="I30" i="8"/>
  <c r="J30" s="1"/>
  <c r="L22"/>
  <c r="I22"/>
  <c r="J22" s="1"/>
  <c r="L17"/>
  <c r="I17"/>
  <c r="J17" s="1"/>
  <c r="L12"/>
  <c r="I12"/>
  <c r="J12" s="1"/>
  <c r="L7"/>
  <c r="I7"/>
  <c r="J7" s="1"/>
  <c r="L4"/>
  <c r="I4"/>
  <c r="J4" s="1"/>
  <c r="M7" l="1"/>
  <c r="O7" s="1"/>
  <c r="M4"/>
  <c r="O4" s="1"/>
  <c r="M17"/>
  <c r="O17" s="1"/>
  <c r="M12"/>
  <c r="O12" s="1"/>
  <c r="M22"/>
  <c r="O22" s="1"/>
  <c r="D35" s="1"/>
  <c r="H35" s="1"/>
  <c r="I35" s="1"/>
  <c r="H23" i="2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Q20" i="8" l="1"/>
  <c r="D36" s="1"/>
  <c r="H36" s="1"/>
  <c r="I36" s="1"/>
  <c r="H25" i="2"/>
  <c r="I25" s="1"/>
  <c r="B19"/>
  <c r="V19" l="1"/>
  <c r="K19"/>
  <c r="O19"/>
  <c r="S19"/>
  <c r="F19"/>
  <c r="F31" s="1"/>
  <c r="F33" s="1"/>
  <c r="U19"/>
  <c r="P19"/>
  <c r="E19"/>
  <c r="E31" s="1"/>
  <c r="I19"/>
  <c r="M19"/>
  <c r="Q19"/>
  <c r="H19"/>
  <c r="D19"/>
  <c r="D31" s="1"/>
  <c r="J19"/>
  <c r="N19"/>
  <c r="R19"/>
  <c r="G19"/>
  <c r="G31" s="1"/>
  <c r="L19"/>
  <c r="T19"/>
  <c r="J25"/>
  <c r="K25" s="1"/>
  <c r="L25" s="1"/>
  <c r="M25" l="1"/>
  <c r="N25" s="1"/>
  <c r="O25" s="1"/>
  <c r="J4" i="5"/>
  <c r="P25" i="2" l="1"/>
  <c r="Q25" s="1"/>
  <c r="E38"/>
  <c r="E51"/>
  <c r="C38"/>
  <c r="C51"/>
  <c r="D38"/>
  <c r="D51"/>
  <c r="E28"/>
  <c r="H22"/>
  <c r="E26"/>
  <c r="G48"/>
  <c r="F4" i="6"/>
  <c r="D16" s="1"/>
  <c r="E10" i="2"/>
  <c r="E48" s="1"/>
  <c r="R25" l="1"/>
  <c r="E50"/>
  <c r="D17" i="6"/>
  <c r="D18" s="1"/>
  <c r="H26" i="2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I22"/>
  <c r="H28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H2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H10"/>
  <c r="C2" i="7"/>
  <c r="C8"/>
  <c r="C4"/>
  <c r="C6"/>
  <c r="C3"/>
  <c r="C5"/>
  <c r="C7"/>
  <c r="S25" i="2" l="1"/>
  <c r="T25" s="1"/>
  <c r="I10"/>
  <c r="H48"/>
  <c r="J22"/>
  <c r="C10" i="3"/>
  <c r="U25" i="2" l="1"/>
  <c r="V25" s="1"/>
  <c r="J10"/>
  <c r="I48"/>
  <c r="K22"/>
  <c r="K10" l="1"/>
  <c r="J48"/>
  <c r="L22"/>
  <c r="L10" l="1"/>
  <c r="K48"/>
  <c r="M22"/>
  <c r="M10" l="1"/>
  <c r="L48"/>
  <c r="N22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G3" i="4"/>
  <c r="N10" i="2" l="1"/>
  <c r="M48"/>
  <c r="O22"/>
  <c r="H5" i="4"/>
  <c r="G5"/>
  <c r="O10" i="2" l="1"/>
  <c r="N48"/>
  <c r="P22"/>
  <c r="F50"/>
  <c r="G50"/>
  <c r="C25" i="3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B40"/>
  <c r="S37"/>
  <c r="R37"/>
  <c r="Q37"/>
  <c r="P37"/>
  <c r="O37"/>
  <c r="N37"/>
  <c r="M37"/>
  <c r="L37"/>
  <c r="K37"/>
  <c r="J37"/>
  <c r="I37"/>
  <c r="H37"/>
  <c r="G37"/>
  <c r="F37"/>
  <c r="E37"/>
  <c r="D37"/>
  <c r="C37"/>
  <c r="D27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D22"/>
  <c r="E22" s="1"/>
  <c r="F22" s="1"/>
  <c r="G22" s="1"/>
  <c r="H22" s="1"/>
  <c r="I22" s="1"/>
  <c r="J22" s="1"/>
  <c r="K22" s="1"/>
  <c r="L22" s="1"/>
  <c r="M22" s="1"/>
  <c r="N22" s="1"/>
  <c r="O22" s="1"/>
  <c r="P22" s="1"/>
  <c r="Q22" s="1"/>
  <c r="R22" s="1"/>
  <c r="S22" s="1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D18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E17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D17"/>
  <c r="E16"/>
  <c r="F16" s="1"/>
  <c r="G16" s="1"/>
  <c r="H16" s="1"/>
  <c r="I16" s="1"/>
  <c r="J16" s="1"/>
  <c r="K16" s="1"/>
  <c r="L16" s="1"/>
  <c r="M16" s="1"/>
  <c r="D16"/>
  <c r="D10"/>
  <c r="E10" s="1"/>
  <c r="P10" i="2" l="1"/>
  <c r="O48"/>
  <c r="H29"/>
  <c r="Q22"/>
  <c r="C29" i="3"/>
  <c r="C31" s="1"/>
  <c r="C33" s="1"/>
  <c r="D29"/>
  <c r="D31" s="1"/>
  <c r="E29"/>
  <c r="E31" s="1"/>
  <c r="I29"/>
  <c r="N16"/>
  <c r="O16" s="1"/>
  <c r="P16" s="1"/>
  <c r="Q16" s="1"/>
  <c r="M29"/>
  <c r="G29"/>
  <c r="K29"/>
  <c r="O29"/>
  <c r="L29"/>
  <c r="F10"/>
  <c r="H29"/>
  <c r="P29"/>
  <c r="F29"/>
  <c r="J29"/>
  <c r="N29"/>
  <c r="Q10" i="2" l="1"/>
  <c r="P48"/>
  <c r="I29"/>
  <c r="H50"/>
  <c r="R22"/>
  <c r="C35" i="3"/>
  <c r="C40" s="1"/>
  <c r="D33"/>
  <c r="D35" s="1"/>
  <c r="D40" s="1"/>
  <c r="G10"/>
  <c r="F31"/>
  <c r="E33"/>
  <c r="E35" s="1"/>
  <c r="E40" s="1"/>
  <c r="C42"/>
  <c r="R16"/>
  <c r="Q29"/>
  <c r="R10" i="2" l="1"/>
  <c r="Q48"/>
  <c r="S22"/>
  <c r="J29"/>
  <c r="I50"/>
  <c r="D42" i="3"/>
  <c r="E42" s="1"/>
  <c r="G31"/>
  <c r="H10"/>
  <c r="F33"/>
  <c r="F35" s="1"/>
  <c r="F40" s="1"/>
  <c r="S16"/>
  <c r="S29" s="1"/>
  <c r="R29"/>
  <c r="S10" i="2" l="1"/>
  <c r="R48"/>
  <c r="T22"/>
  <c r="K29"/>
  <c r="J50"/>
  <c r="H31"/>
  <c r="H51" s="1"/>
  <c r="E34"/>
  <c r="D34"/>
  <c r="I31"/>
  <c r="I51" s="1"/>
  <c r="C34"/>
  <c r="G51"/>
  <c r="F51"/>
  <c r="J31"/>
  <c r="F42" i="3"/>
  <c r="I10"/>
  <c r="H31"/>
  <c r="G33"/>
  <c r="G35" s="1"/>
  <c r="G40" s="1"/>
  <c r="E35" i="2" l="1"/>
  <c r="E54" s="1"/>
  <c r="E53"/>
  <c r="D35"/>
  <c r="D54" s="1"/>
  <c r="D53"/>
  <c r="C35"/>
  <c r="C54" s="1"/>
  <c r="C53"/>
  <c r="T10"/>
  <c r="S48"/>
  <c r="U22"/>
  <c r="J33"/>
  <c r="J52" s="1"/>
  <c r="J51"/>
  <c r="L29"/>
  <c r="K50"/>
  <c r="H33"/>
  <c r="I33"/>
  <c r="G33"/>
  <c r="C39"/>
  <c r="K31"/>
  <c r="G42" i="3"/>
  <c r="I31"/>
  <c r="J10"/>
  <c r="H33"/>
  <c r="H35" s="1"/>
  <c r="H40" s="1"/>
  <c r="U10" i="2" l="1"/>
  <c r="T48"/>
  <c r="J34"/>
  <c r="J35" s="1"/>
  <c r="I34"/>
  <c r="I35" s="1"/>
  <c r="I52"/>
  <c r="G34"/>
  <c r="G35" s="1"/>
  <c r="G52"/>
  <c r="H34"/>
  <c r="H53" s="1"/>
  <c r="H52"/>
  <c r="F34"/>
  <c r="F53" s="1"/>
  <c r="F52"/>
  <c r="M29"/>
  <c r="L50"/>
  <c r="V22"/>
  <c r="K33"/>
  <c r="K52" s="1"/>
  <c r="K51"/>
  <c r="D39"/>
  <c r="C45"/>
  <c r="C55"/>
  <c r="L31"/>
  <c r="I33" i="3"/>
  <c r="I35" s="1"/>
  <c r="I40" s="1"/>
  <c r="H42"/>
  <c r="K10"/>
  <c r="J31"/>
  <c r="V10" i="2" l="1"/>
  <c r="V48" s="1"/>
  <c r="U48"/>
  <c r="F35"/>
  <c r="F38" s="1"/>
  <c r="G53"/>
  <c r="J53"/>
  <c r="I53"/>
  <c r="H35"/>
  <c r="H38" s="1"/>
  <c r="K34"/>
  <c r="K35" s="1"/>
  <c r="G38"/>
  <c r="G54"/>
  <c r="I38"/>
  <c r="I54"/>
  <c r="E39"/>
  <c r="D45"/>
  <c r="D55"/>
  <c r="J38"/>
  <c r="J54"/>
  <c r="M50"/>
  <c r="N29"/>
  <c r="L33"/>
  <c r="L52" s="1"/>
  <c r="L51"/>
  <c r="M31"/>
  <c r="I42" i="3"/>
  <c r="J33"/>
  <c r="J35" s="1"/>
  <c r="J40" s="1"/>
  <c r="K31"/>
  <c r="L10"/>
  <c r="F54" i="2" l="1"/>
  <c r="L34"/>
  <c r="L35" s="1"/>
  <c r="H54"/>
  <c r="K53"/>
  <c r="M33"/>
  <c r="M52" s="1"/>
  <c r="M51"/>
  <c r="O29"/>
  <c r="N50"/>
  <c r="K38"/>
  <c r="K54"/>
  <c r="E55"/>
  <c r="E45"/>
  <c r="F39"/>
  <c r="N31"/>
  <c r="K33" i="3"/>
  <c r="K35" s="1"/>
  <c r="K40" s="1"/>
  <c r="M10"/>
  <c r="L31"/>
  <c r="J42"/>
  <c r="L53" i="2" l="1"/>
  <c r="M34"/>
  <c r="M35" s="1"/>
  <c r="P29"/>
  <c r="O50"/>
  <c r="N33"/>
  <c r="N51"/>
  <c r="F45"/>
  <c r="F55"/>
  <c r="G39"/>
  <c r="L38"/>
  <c r="L54"/>
  <c r="O31"/>
  <c r="K42" i="3"/>
  <c r="L33"/>
  <c r="L35" s="1"/>
  <c r="L40" s="1"/>
  <c r="M31"/>
  <c r="N10"/>
  <c r="M53" i="2" l="1"/>
  <c r="N34"/>
  <c r="N53" s="1"/>
  <c r="N52"/>
  <c r="O33"/>
  <c r="O51"/>
  <c r="G55"/>
  <c r="H39"/>
  <c r="G45"/>
  <c r="M38"/>
  <c r="M54"/>
  <c r="Q29"/>
  <c r="P50"/>
  <c r="P31"/>
  <c r="O10" i="3"/>
  <c r="N31"/>
  <c r="L42"/>
  <c r="M33"/>
  <c r="M35" s="1"/>
  <c r="M40" s="1"/>
  <c r="N35" i="2" l="1"/>
  <c r="N38" s="1"/>
  <c r="O34"/>
  <c r="O53" s="1"/>
  <c r="O52"/>
  <c r="P33"/>
  <c r="P51"/>
  <c r="R29"/>
  <c r="Q50"/>
  <c r="H55"/>
  <c r="I39"/>
  <c r="H45"/>
  <c r="Q31"/>
  <c r="N33" i="3"/>
  <c r="N35" s="1"/>
  <c r="N40" s="1"/>
  <c r="M42"/>
  <c r="O31"/>
  <c r="P10"/>
  <c r="N54" i="2" l="1"/>
  <c r="O35"/>
  <c r="O38" s="1"/>
  <c r="P34"/>
  <c r="P35" s="1"/>
  <c r="P52"/>
  <c r="I55"/>
  <c r="I45"/>
  <c r="J39"/>
  <c r="Q33"/>
  <c r="Q52" s="1"/>
  <c r="Q51"/>
  <c r="S29"/>
  <c r="R50"/>
  <c r="R31"/>
  <c r="Q10" i="3"/>
  <c r="P31"/>
  <c r="O33"/>
  <c r="O35" s="1"/>
  <c r="O40" s="1"/>
  <c r="O54" i="2" l="1"/>
  <c r="Q34"/>
  <c r="Q53" s="1"/>
  <c r="P53"/>
  <c r="R33"/>
  <c r="R52" s="1"/>
  <c r="R51"/>
  <c r="T29"/>
  <c r="S50"/>
  <c r="J55"/>
  <c r="J45"/>
  <c r="K39"/>
  <c r="P38"/>
  <c r="P54"/>
  <c r="S31"/>
  <c r="P33" i="3"/>
  <c r="P35" s="1"/>
  <c r="P40" s="1"/>
  <c r="Q31"/>
  <c r="R10"/>
  <c r="Q35" i="2" l="1"/>
  <c r="Q38" s="1"/>
  <c r="R34"/>
  <c r="R35" s="1"/>
  <c r="K55"/>
  <c r="L39"/>
  <c r="K45"/>
  <c r="U29"/>
  <c r="T50"/>
  <c r="S33"/>
  <c r="S52" s="1"/>
  <c r="S51"/>
  <c r="T31"/>
  <c r="Q33" i="3"/>
  <c r="Q35" s="1"/>
  <c r="Q40" s="1"/>
  <c r="S10"/>
  <c r="S31" s="1"/>
  <c r="R31"/>
  <c r="Q54" i="2" l="1"/>
  <c r="R53"/>
  <c r="S34"/>
  <c r="S35" s="1"/>
  <c r="T33"/>
  <c r="T51"/>
  <c r="V29"/>
  <c r="V31" s="1"/>
  <c r="U50"/>
  <c r="L55"/>
  <c r="L45"/>
  <c r="M39"/>
  <c r="R38"/>
  <c r="R54"/>
  <c r="U31"/>
  <c r="R33" i="3"/>
  <c r="R35" s="1"/>
  <c r="R40" s="1"/>
  <c r="S33"/>
  <c r="S35" s="1"/>
  <c r="S40" s="1"/>
  <c r="B44" l="1"/>
  <c r="S53" i="2"/>
  <c r="T34"/>
  <c r="T35" s="1"/>
  <c r="T52"/>
  <c r="U33"/>
  <c r="U52" s="1"/>
  <c r="U51"/>
  <c r="M55"/>
  <c r="M45"/>
  <c r="N39"/>
  <c r="V50"/>
  <c r="S38"/>
  <c r="S54"/>
  <c r="B45" i="3"/>
  <c r="U34" i="2" l="1"/>
  <c r="U35" s="1"/>
  <c r="T53"/>
  <c r="T38"/>
  <c r="T54"/>
  <c r="V33"/>
  <c r="V51"/>
  <c r="N55"/>
  <c r="N45"/>
  <c r="O39"/>
  <c r="U53" l="1"/>
  <c r="V34"/>
  <c r="V35" s="1"/>
  <c r="V52"/>
  <c r="O55"/>
  <c r="O45"/>
  <c r="P39"/>
  <c r="U38"/>
  <c r="U54"/>
  <c r="V53" l="1"/>
  <c r="P55"/>
  <c r="Q39"/>
  <c r="P45"/>
  <c r="V38"/>
  <c r="B41" s="1"/>
  <c r="V54"/>
  <c r="Q55" l="1"/>
  <c r="Q45"/>
  <c r="R39"/>
  <c r="R55" l="1"/>
  <c r="R45"/>
  <c r="S39"/>
  <c r="S55" l="1"/>
  <c r="S45"/>
  <c r="T39"/>
  <c r="T55" l="1"/>
  <c r="T45"/>
  <c r="U39"/>
  <c r="U55" l="1"/>
  <c r="V39"/>
  <c r="B42" s="1"/>
  <c r="U45"/>
  <c r="V55" l="1"/>
  <c r="V45"/>
  <c r="D49" i="8" l="1"/>
  <c r="E49" l="1"/>
  <c r="F49" l="1"/>
  <c r="G49" l="1"/>
  <c r="H49" l="1"/>
  <c r="I49" l="1"/>
  <c r="J49" l="1"/>
  <c r="K49" l="1"/>
  <c r="L49" l="1"/>
  <c r="M49" l="1"/>
  <c r="N49" l="1"/>
  <c r="O49" l="1"/>
  <c r="P49" l="1"/>
  <c r="Q49" l="1"/>
  <c r="R49" l="1"/>
  <c r="S49"/>
</calcChain>
</file>

<file path=xl/sharedStrings.xml><?xml version="1.0" encoding="utf-8"?>
<sst xmlns="http://schemas.openxmlformats.org/spreadsheetml/2006/main" count="450" uniqueCount="318">
  <si>
    <t>Raw Materials</t>
  </si>
  <si>
    <t>Petcoke (T/D)</t>
  </si>
  <si>
    <t>Ferro-chrome</t>
  </si>
  <si>
    <t>Aluminum oxide</t>
  </si>
  <si>
    <t>Price ($)</t>
  </si>
  <si>
    <t>Total Cost (day)</t>
  </si>
  <si>
    <t>($/mt)</t>
  </si>
  <si>
    <t>($/lbm)</t>
  </si>
  <si>
    <t>Cost ($)/(year)</t>
  </si>
  <si>
    <t>Cooler 2</t>
  </si>
  <si>
    <t>Zinc oxide (lbm/day)</t>
  </si>
  <si>
    <t xml:space="preserve">Utilities </t>
  </si>
  <si>
    <t>($/110 lbm)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</si>
  <si>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</si>
  <si>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</si>
  <si>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</si>
  <si>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</si>
  <si>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</si>
  <si>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</si>
  <si>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</si>
  <si>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</si>
  <si>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</si>
  <si>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</si>
  <si>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</si>
  <si>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</si>
  <si>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</si>
  <si>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</si>
  <si>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</si>
  <si>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</si>
  <si>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</si>
  <si>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</si>
  <si>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</si>
  <si>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</si>
  <si>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</si>
  <si>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</si>
  <si>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</si>
  <si>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</si>
  <si>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</si>
  <si>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</si>
  <si>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</si>
  <si>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</si>
  <si>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</si>
  <si>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</si>
  <si>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Claus Furnace</t>
  </si>
  <si>
    <t>Cooler 3</t>
  </si>
  <si>
    <t>Cooler 4</t>
  </si>
  <si>
    <t>Cooler 5</t>
  </si>
  <si>
    <t>Heat exchanger 3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</si>
  <si>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</si>
  <si>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</si>
  <si>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</si>
  <si>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</si>
  <si>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</si>
  <si>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</si>
  <si>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</si>
  <si>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</si>
  <si>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</si>
  <si>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</si>
  <si>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</si>
  <si>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</si>
  <si>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</si>
  <si>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</si>
  <si>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>Heater 1</t>
  </si>
  <si>
    <t>Heater 2</t>
  </si>
  <si>
    <t>Heater 3</t>
  </si>
  <si>
    <t xml:space="preserve"> </t>
  </si>
  <si>
    <t>Salaries and Fringes (including laboratory cost)</t>
  </si>
  <si>
    <t>interest</t>
  </si>
  <si>
    <t>operating labor cost</t>
  </si>
  <si>
    <t>shifts</t>
  </si>
  <si>
    <t>additional operators</t>
  </si>
  <si>
    <t>total operators</t>
  </si>
  <si>
    <t>total salary</t>
  </si>
  <si>
    <t>Fringes</t>
  </si>
  <si>
    <t>totoal salaries</t>
  </si>
  <si>
    <t>syngas Price</t>
  </si>
  <si>
    <t>payback period</t>
  </si>
  <si>
    <t>syngas price</t>
  </si>
  <si>
    <t>petcoke price</t>
  </si>
  <si>
    <t>NPV(million $)</t>
  </si>
  <si>
    <t>19 years</t>
  </si>
  <si>
    <t>Equipment cost</t>
  </si>
  <si>
    <t>Engineering cost</t>
  </si>
  <si>
    <t>non-engineering cost</t>
  </si>
  <si>
    <t>selexol</t>
  </si>
  <si>
    <t>Total</t>
  </si>
  <si>
    <t>Quantity</t>
  </si>
  <si>
    <t>(ton/day)</t>
  </si>
  <si>
    <t>(lbm/day)</t>
  </si>
  <si>
    <t>oxygen</t>
  </si>
  <si>
    <t>($/ton)</t>
  </si>
  <si>
    <t>Hours per operator</t>
  </si>
  <si>
    <t>salary ($20/hr) per operator</t>
  </si>
  <si>
    <t xml:space="preserve">Natural Gas </t>
  </si>
  <si>
    <t>Utilities:</t>
  </si>
  <si>
    <t xml:space="preserve"> Cash Flow From Operations</t>
  </si>
  <si>
    <t>Bulk Den.</t>
  </si>
  <si>
    <t>Rea:Cat</t>
  </si>
  <si>
    <t>lbmol/hr</t>
  </si>
  <si>
    <t>lb/hr</t>
  </si>
  <si>
    <t>lb/lbmol</t>
  </si>
  <si>
    <t>Resident Time (hr)</t>
  </si>
  <si>
    <t>Total Weight</t>
  </si>
  <si>
    <t>( lb/ft^3)</t>
  </si>
  <si>
    <t>http://www.jmcatalysts.com/ptd/pdfs-uploaded/PURASPEC%202312%20for%20gaseous%20feeds.pdf</t>
  </si>
  <si>
    <t>Alumina</t>
  </si>
  <si>
    <t>Al2O3</t>
  </si>
  <si>
    <t>FerroChrome</t>
  </si>
  <si>
    <t>Fe203 Cr2O3</t>
  </si>
  <si>
    <t>Process</t>
  </si>
  <si>
    <t>Amounts IN</t>
  </si>
  <si>
    <t>COS Hydrolysis</t>
  </si>
  <si>
    <t>#/hr</t>
  </si>
  <si>
    <t>COS</t>
  </si>
  <si>
    <t>Claus- Cat 1</t>
  </si>
  <si>
    <t xml:space="preserve">  S</t>
  </si>
  <si>
    <t xml:space="preserve">  SO2</t>
  </si>
  <si>
    <t xml:space="preserve">  H2S</t>
  </si>
  <si>
    <t>Claus- Cat 2</t>
  </si>
  <si>
    <t>Claus- SuperCls</t>
  </si>
  <si>
    <t>WGS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</si>
  <si>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</si>
  <si>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</si>
  <si>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</si>
  <si>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</si>
  <si>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</si>
  <si>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>H2S - ZnO</t>
  </si>
  <si>
    <t>Zinc Oxide</t>
  </si>
  <si>
    <t>ZnO</t>
  </si>
  <si>
    <t>Unit Op</t>
  </si>
  <si>
    <t>Power (HP)</t>
  </si>
  <si>
    <t>Power (KW)</t>
  </si>
  <si>
    <t>Factor</t>
  </si>
  <si>
    <t>Cost</t>
  </si>
  <si>
    <t>Pump-1</t>
  </si>
  <si>
    <t>$/Kw-Hr</t>
  </si>
  <si>
    <t>Comp-2</t>
  </si>
  <si>
    <t>Comp-1</t>
  </si>
  <si>
    <t>Time Duration</t>
  </si>
  <si>
    <t>Pump-2</t>
  </si>
  <si>
    <t>hr/day</t>
  </si>
  <si>
    <t>Comp-3</t>
  </si>
  <si>
    <t>Comp-4</t>
  </si>
  <si>
    <t>Total Power Used by Plant</t>
  </si>
  <si>
    <t>Kw</t>
  </si>
  <si>
    <t>Conversion</t>
  </si>
  <si>
    <t>Total Energy Used by Plant per Day</t>
  </si>
  <si>
    <t>Total Plant Electricity Cost per Day</t>
  </si>
  <si>
    <t>HP</t>
  </si>
  <si>
    <t>Kw-Hr</t>
  </si>
  <si>
    <t>KW</t>
  </si>
  <si>
    <t>Total Plant Electricity Cost per Year</t>
  </si>
  <si>
    <t>dol per year</t>
  </si>
  <si>
    <t>Total Weight per day</t>
  </si>
  <si>
    <t>toal</t>
  </si>
  <si>
    <t>Engineering Cost</t>
  </si>
  <si>
    <t>Non Engineering cost</t>
  </si>
  <si>
    <t xml:space="preserve">land cost </t>
  </si>
  <si>
    <t>carbon CAPTURE</t>
  </si>
  <si>
    <t>gasifier</t>
  </si>
  <si>
    <t>h2S  Removal</t>
  </si>
  <si>
    <t>Clause process</t>
  </si>
  <si>
    <t>super clause process</t>
  </si>
  <si>
    <t>Total Engineering and non-engineering Coat</t>
  </si>
  <si>
    <t xml:space="preserve">2600 ton /day Syn gas  at $300/ton </t>
  </si>
  <si>
    <t>(lbm/hr)</t>
  </si>
  <si>
    <t>Revenue</t>
  </si>
  <si>
    <t>Cap. Cost</t>
  </si>
  <si>
    <t>Op Cost</t>
  </si>
  <si>
    <t>cum cash flow/1000000</t>
  </si>
  <si>
    <t>maintainance 3% of cap cost</t>
  </si>
  <si>
    <t>Total Expense</t>
  </si>
  <si>
    <t>income tax 40%</t>
  </si>
  <si>
    <t>Income after tax</t>
  </si>
  <si>
    <t>Cum Cash Flow</t>
  </si>
  <si>
    <t>Summary</t>
  </si>
  <si>
    <t>Income before tax</t>
  </si>
  <si>
    <t>Catalyst</t>
  </si>
  <si>
    <r>
      <t>IrI</t>
    </r>
    <r>
      <rPr>
        <vertAlign val="subscript"/>
        <sz val="10"/>
        <rFont val="Arial"/>
        <family val="2"/>
      </rPr>
      <t>4</t>
    </r>
  </si>
  <si>
    <t>MeI</t>
  </si>
  <si>
    <t>Cativa</t>
  </si>
  <si>
    <t>Ferro-Chrome</t>
  </si>
  <si>
    <t>Selexol</t>
  </si>
  <si>
    <t>Zinc oxide</t>
  </si>
  <si>
    <t>Catalysts</t>
  </si>
  <si>
    <t>Guards (X2)</t>
  </si>
  <si>
    <t>operator per shift (X3)</t>
  </si>
  <si>
    <t>Tank Farm (X2)</t>
  </si>
  <si>
    <t>Petcoke loader (X4)</t>
  </si>
  <si>
    <t>Lab technician (X2)</t>
  </si>
  <si>
    <t>Supervisor(X1)</t>
  </si>
  <si>
    <t>Engineers</t>
  </si>
  <si>
    <t xml:space="preserve">syn gas price </t>
  </si>
  <si>
    <t>Syn Gas Cost</t>
  </si>
  <si>
    <t>Cost 1st year</t>
  </si>
  <si>
    <t>(lb/day)</t>
  </si>
  <si>
    <t>(lb/hr)</t>
  </si>
  <si>
    <t>amount</t>
  </si>
  <si>
    <t>Cost/lb</t>
  </si>
  <si>
    <t>Replacement period</t>
  </si>
  <si>
    <t>everyday</t>
  </si>
  <si>
    <t>6 years</t>
  </si>
  <si>
    <t>2 years</t>
  </si>
  <si>
    <t>1 year</t>
  </si>
  <si>
    <t>Cost Parameters</t>
  </si>
  <si>
    <t>0th year</t>
  </si>
  <si>
    <t>1st year</t>
  </si>
  <si>
    <t>2nd  year</t>
  </si>
  <si>
    <t>3rd year</t>
  </si>
  <si>
    <t>19th year</t>
  </si>
  <si>
    <t>% Interest</t>
  </si>
  <si>
    <t>Cum. Cash Flow</t>
  </si>
  <si>
    <t>HEATER 6</t>
  </si>
  <si>
    <t>ft2</t>
  </si>
  <si>
    <t>HX 7</t>
  </si>
  <si>
    <t>D = 5         H = 12</t>
  </si>
  <si>
    <t>ft</t>
  </si>
  <si>
    <t>Flash 10</t>
  </si>
  <si>
    <t>cooler 10</t>
  </si>
  <si>
    <t>cooler 9</t>
  </si>
  <si>
    <t>cooler 8</t>
  </si>
  <si>
    <t>compressor 4</t>
  </si>
  <si>
    <t>compressor 3</t>
  </si>
  <si>
    <t>compressor 2</t>
  </si>
  <si>
    <t>cu ft</t>
  </si>
  <si>
    <t>condensed S8 as liquid</t>
  </si>
  <si>
    <t>Flash Vessel 5</t>
  </si>
  <si>
    <t>D = 15        H = 44.5</t>
  </si>
  <si>
    <t>flash 9</t>
  </si>
  <si>
    <t>sq ft</t>
  </si>
  <si>
    <t>Reaction from cat reactor 2 is condensed and enters Flash 5</t>
  </si>
  <si>
    <t>HEATER 5</t>
  </si>
  <si>
    <r>
      <t>Unreacted H2S and SO2 react with each other and forms Elemental S</t>
    </r>
    <r>
      <rPr>
        <vertAlign val="subscript"/>
        <sz val="11"/>
        <color theme="1"/>
        <rFont val="Calibri"/>
        <family val="2"/>
        <scheme val="minor"/>
      </rPr>
      <t>8</t>
    </r>
  </si>
  <si>
    <t>Cat. Reactor 2</t>
  </si>
  <si>
    <t>D = 15.5         H = 41</t>
  </si>
  <si>
    <t>flash 8</t>
  </si>
  <si>
    <t>Unreacted H2S and S8 is heated up and enters cat reactor 2</t>
  </si>
  <si>
    <t>HEATER 4</t>
  </si>
  <si>
    <t>Condensed S8 as liquid</t>
  </si>
  <si>
    <t>Flash Vessel 4</t>
  </si>
  <si>
    <t xml:space="preserve">CO2 rich selexol goes back to H2S absorber </t>
  </si>
  <si>
    <t>D = 14.5         H = 12</t>
  </si>
  <si>
    <t>flash 7</t>
  </si>
  <si>
    <t>Reaction is condensed and enters Flash 4</t>
  </si>
  <si>
    <t>Heating the H2S and selexol then it goes to Flash</t>
  </si>
  <si>
    <t>HX 6</t>
  </si>
  <si>
    <r>
      <t>H2S and SO2 react with each other and forms Elemental S</t>
    </r>
    <r>
      <rPr>
        <vertAlign val="subscript"/>
        <sz val="11"/>
        <color theme="1"/>
        <rFont val="Calibri"/>
        <family val="2"/>
        <scheme val="minor"/>
      </rPr>
      <t>8</t>
    </r>
  </si>
  <si>
    <t>Cat. Reactor 1</t>
  </si>
  <si>
    <t>cu. Ft</t>
  </si>
  <si>
    <t>CO2 is removed from selexol and H2S concentrated selexol ; CO2 rich selexol goes to cooler 2 and H2S rich selexol goes to Scrubber</t>
  </si>
  <si>
    <t>Flash Vessel 2</t>
  </si>
  <si>
    <t>d = 59</t>
  </si>
  <si>
    <t>in</t>
  </si>
  <si>
    <t>Carbon Steel</t>
  </si>
  <si>
    <t>Comes from candle filter and leaves fly ash behind while leaving from cyclone</t>
  </si>
  <si>
    <t>Cyclone 1 (x3)</t>
  </si>
  <si>
    <t>cooler 7</t>
  </si>
  <si>
    <t>Recovers H2S</t>
  </si>
  <si>
    <t>Flash Vessel 1</t>
  </si>
  <si>
    <t>Raw syn gas goes through candle filter where solids are removed</t>
  </si>
  <si>
    <t>Candle Filter</t>
  </si>
  <si>
    <t>D = 15.5        H = 98    trays=43</t>
  </si>
  <si>
    <t>ABSORBER 4</t>
  </si>
  <si>
    <t>6x12</t>
  </si>
  <si>
    <t>flash vessel 6</t>
  </si>
  <si>
    <t>Flash Vessel 3</t>
  </si>
  <si>
    <t>d = 15            h = 50          trays = 19</t>
  </si>
  <si>
    <t>Jacket (CS)                      tray(A285C)</t>
  </si>
  <si>
    <t>Removes H2S from selxol ; H2S leaves column from top</t>
  </si>
  <si>
    <t>Stripper (x2)</t>
  </si>
  <si>
    <t>Raw syn gas goes to 2nd heat exchanger from where medium pressure steam is released</t>
  </si>
  <si>
    <t>Heat Exchanger 2</t>
  </si>
  <si>
    <t>D = 15.5        H = 98    trays = 43</t>
  </si>
  <si>
    <t>ABSORBER 3</t>
  </si>
  <si>
    <t>cooler</t>
  </si>
  <si>
    <t>d = 11           h = 124</t>
  </si>
  <si>
    <t>Selexol absorbs H2S and that H2S leaves from the bottom</t>
  </si>
  <si>
    <t>Absorber (x2)</t>
  </si>
  <si>
    <t>Raw syn gas goes through 1st Heat exchanger which releases the high pressure steam</t>
  </si>
  <si>
    <t>Heat Exchanger 1</t>
  </si>
  <si>
    <t>HX 5</t>
  </si>
  <si>
    <t>d = 6.3                        h = 19.1</t>
  </si>
  <si>
    <t>super claus reactor</t>
  </si>
  <si>
    <t>CS</t>
  </si>
  <si>
    <t>H2S is converted to SO2</t>
  </si>
  <si>
    <t>sq. Ft</t>
  </si>
  <si>
    <t>Cools the syn gas coming from COS reactor</t>
  </si>
  <si>
    <t xml:space="preserve">Cooler 1 </t>
  </si>
  <si>
    <t>N/A</t>
  </si>
  <si>
    <t>Membrane Wall</t>
  </si>
  <si>
    <t>Petroleum Coke reacts with oxygen and produces raw syngas and slag</t>
  </si>
  <si>
    <t>Gasifier(x2)</t>
  </si>
  <si>
    <t>Compressor 1</t>
  </si>
  <si>
    <t>d = 6.3                        h = 19</t>
  </si>
  <si>
    <t xml:space="preserve">H2S rich selexol </t>
  </si>
  <si>
    <t>Heat Exchanger 4</t>
  </si>
  <si>
    <t>Converts all carbonyl Sulfide to Hydrogen Sulfide</t>
  </si>
  <si>
    <t>COS Reactor</t>
  </si>
  <si>
    <t>hp</t>
  </si>
  <si>
    <t>A285C</t>
  </si>
  <si>
    <t xml:space="preserve">Grinding Petroleum coke before pressurizing it with N2 gas </t>
  </si>
  <si>
    <t xml:space="preserve">Ring Gran Petcoke Crusher </t>
  </si>
  <si>
    <t>Direct Cost</t>
  </si>
  <si>
    <t>Column1</t>
  </si>
  <si>
    <t>Equipment Cost</t>
  </si>
  <si>
    <t>Size</t>
  </si>
  <si>
    <t>Unit</t>
  </si>
  <si>
    <t>Material</t>
  </si>
  <si>
    <t>Discription</t>
  </si>
  <si>
    <t>Equipment Name</t>
  </si>
  <si>
    <t>module factor</t>
  </si>
  <si>
    <t>MODULE FACTOR</t>
  </si>
  <si>
    <t>SIZE</t>
  </si>
  <si>
    <t>unit</t>
  </si>
  <si>
    <t xml:space="preserve">H2S Removal </t>
  </si>
  <si>
    <t>Cost 4th Year</t>
  </si>
  <si>
    <t>service facilities</t>
  </si>
  <si>
    <t>sulfur 100 ton/day at $70/ton</t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</si>
</sst>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  <numFmt numFmtId="166" formatCode="&quot;$&quot;#,##0"/>
    <numFmt numFmtId="167" formatCode="_(&quot;$&quot;* #,##0_);_(&quot;$&quot;* \(#,##0\);_(&quot;$&quot;* &quot;-&quot;??_);_(@_)"/>
    <numFmt numFmtId="168" formatCode="0.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sz val="20"/>
      <name val="Arial"/>
      <family val="2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u/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6" fontId="0" fillId="0" borderId="0" xfId="0" applyNumberFormat="1"/>
    <xf numFmtId="44" fontId="0" fillId="0" borderId="0" xfId="1" applyFont="1"/>
    <xf numFmtId="44" fontId="0" fillId="2" borderId="0" xfId="1" applyFont="1" applyFill="1"/>
    <xf numFmtId="8" fontId="0" fillId="2" borderId="0" xfId="1" applyNumberFormat="1" applyFont="1" applyFill="1"/>
    <xf numFmtId="44" fontId="5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0" fillId="4" borderId="0" xfId="0" applyFill="1"/>
    <xf numFmtId="0" fontId="1" fillId="4" borderId="3" xfId="0" applyFont="1" applyFill="1" applyBorder="1"/>
    <xf numFmtId="0" fontId="2" fillId="4" borderId="2" xfId="0" applyFont="1" applyFill="1" applyBorder="1"/>
    <xf numFmtId="0" fontId="0" fillId="0" borderId="0" xfId="0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165" fontId="0" fillId="2" borderId="0" xfId="0" applyNumberFormat="1" applyFill="1"/>
    <xf numFmtId="0" fontId="0" fillId="0" borderId="0" xfId="0" applyFill="1"/>
    <xf numFmtId="0" fontId="0" fillId="0" borderId="1" xfId="0" applyBorder="1" applyAlignment="1">
      <alignment wrapText="1"/>
    </xf>
    <xf numFmtId="0" fontId="0" fillId="0" borderId="1" xfId="0" applyBorder="1"/>
    <xf numFmtId="44" fontId="0" fillId="0" borderId="0" xfId="0" applyNumberFormat="1"/>
    <xf numFmtId="167" fontId="0" fillId="0" borderId="1" xfId="1" applyNumberFormat="1" applyFont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  <xf numFmtId="167" fontId="0" fillId="0" borderId="1" xfId="1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7" fontId="0" fillId="0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44" fontId="9" fillId="0" borderId="0" xfId="1" applyFont="1"/>
    <xf numFmtId="11" fontId="0" fillId="0" borderId="1" xfId="0" applyNumberFormat="1" applyBorder="1" applyAlignment="1">
      <alignment horizontal="left" wrapText="1"/>
    </xf>
    <xf numFmtId="0" fontId="0" fillId="2" borderId="0" xfId="0" applyFill="1"/>
    <xf numFmtId="0" fontId="11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0" fillId="0" borderId="0" xfId="0" applyFont="1"/>
    <xf numFmtId="0" fontId="16" fillId="0" borderId="0" xfId="0" applyFont="1"/>
    <xf numFmtId="44" fontId="16" fillId="0" borderId="0" xfId="0" applyNumberFormat="1" applyFont="1" applyAlignment="1">
      <alignment horizontal="right"/>
    </xf>
    <xf numFmtId="44" fontId="10" fillId="0" borderId="0" xfId="0" applyNumberFormat="1" applyFont="1"/>
    <xf numFmtId="0" fontId="17" fillId="0" borderId="1" xfId="0" applyFont="1" applyBorder="1" applyAlignment="1">
      <alignment horizontal="left" wrapText="1"/>
    </xf>
    <xf numFmtId="2" fontId="17" fillId="0" borderId="1" xfId="0" applyNumberFormat="1" applyFont="1" applyBorder="1" applyAlignment="1">
      <alignment horizontal="left" wrapText="1"/>
    </xf>
    <xf numFmtId="11" fontId="17" fillId="0" borderId="1" xfId="0" applyNumberFormat="1" applyFont="1" applyBorder="1" applyAlignment="1">
      <alignment horizontal="left" wrapText="1"/>
    </xf>
    <xf numFmtId="0" fontId="17" fillId="0" borderId="0" xfId="0" applyFont="1"/>
    <xf numFmtId="0" fontId="18" fillId="0" borderId="0" xfId="0" applyFont="1"/>
    <xf numFmtId="0" fontId="10" fillId="0" borderId="0" xfId="0" applyFont="1" applyAlignment="1">
      <alignment wrapText="1"/>
    </xf>
    <xf numFmtId="44" fontId="19" fillId="0" borderId="0" xfId="0" applyNumberFormat="1" applyFont="1" applyAlignment="1">
      <alignment horizontal="left" vertical="center" wrapText="1"/>
    </xf>
    <xf numFmtId="44" fontId="19" fillId="0" borderId="0" xfId="0" applyNumberFormat="1" applyFont="1" applyAlignment="1">
      <alignment horizontal="right" vertical="center"/>
    </xf>
    <xf numFmtId="44" fontId="20" fillId="0" borderId="0" xfId="0" applyNumberFormat="1" applyFont="1" applyAlignment="1">
      <alignment horizontal="left" vertical="center" wrapText="1"/>
    </xf>
    <xf numFmtId="166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65" fontId="20" fillId="0" borderId="13" xfId="0" applyNumberFormat="1" applyFont="1" applyFill="1" applyBorder="1"/>
    <xf numFmtId="165" fontId="20" fillId="0" borderId="16" xfId="0" applyNumberFormat="1" applyFont="1" applyFill="1" applyBorder="1"/>
    <xf numFmtId="168" fontId="0" fillId="0" borderId="0" xfId="0" applyNumberFormat="1"/>
    <xf numFmtId="4" fontId="0" fillId="0" borderId="0" xfId="0" applyNumberForma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168" fontId="0" fillId="0" borderId="0" xfId="0" applyNumberFormat="1" applyAlignment="1">
      <alignment wrapText="1"/>
    </xf>
    <xf numFmtId="165" fontId="0" fillId="0" borderId="0" xfId="0" applyNumberFormat="1" applyBorder="1"/>
    <xf numFmtId="0" fontId="0" fillId="0" borderId="0" xfId="0" applyFont="1" applyBorder="1"/>
    <xf numFmtId="0" fontId="0" fillId="0" borderId="0" xfId="0" applyAlignment="1">
      <alignment horizontal="center" wrapText="1"/>
    </xf>
    <xf numFmtId="165" fontId="1" fillId="0" borderId="20" xfId="0" applyNumberFormat="1" applyFont="1" applyBorder="1"/>
    <xf numFmtId="165" fontId="0" fillId="0" borderId="0" xfId="0" applyNumberFormat="1" applyAlignment="1">
      <alignment horizontal="center" wrapText="1"/>
    </xf>
    <xf numFmtId="168" fontId="0" fillId="0" borderId="0" xfId="0" applyNumberFormat="1" applyFont="1" applyAlignment="1">
      <alignment horizontal="center"/>
    </xf>
    <xf numFmtId="165" fontId="0" fillId="0" borderId="21" xfId="0" applyNumberFormat="1" applyFont="1" applyBorder="1" applyAlignment="1">
      <alignment horizontal="right"/>
    </xf>
    <xf numFmtId="168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5" fontId="1" fillId="0" borderId="22" xfId="0" applyNumberFormat="1" applyFont="1" applyBorder="1"/>
    <xf numFmtId="44" fontId="1" fillId="0" borderId="20" xfId="0" applyNumberFormat="1" applyFont="1" applyBorder="1"/>
    <xf numFmtId="0" fontId="0" fillId="0" borderId="0" xfId="0" applyNumberFormat="1" applyAlignment="1">
      <alignment wrapText="1"/>
    </xf>
    <xf numFmtId="165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horizontal="center" wrapText="1"/>
    </xf>
    <xf numFmtId="168" fontId="0" fillId="0" borderId="0" xfId="0" applyNumberFormat="1" applyFont="1" applyFill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Border="1" applyAlignment="1">
      <alignment wrapText="1"/>
    </xf>
    <xf numFmtId="167" fontId="0" fillId="2" borderId="0" xfId="1" applyNumberFormat="1" applyFont="1" applyFill="1"/>
    <xf numFmtId="0" fontId="25" fillId="0" borderId="0" xfId="0" applyFont="1"/>
    <xf numFmtId="0" fontId="26" fillId="0" borderId="0" xfId="0" applyFont="1"/>
    <xf numFmtId="0" fontId="26" fillId="0" borderId="7" xfId="0" applyFont="1" applyBorder="1"/>
    <xf numFmtId="0" fontId="26" fillId="0" borderId="8" xfId="0" applyFont="1" applyBorder="1"/>
    <xf numFmtId="44" fontId="26" fillId="0" borderId="0" xfId="0" applyNumberFormat="1" applyFont="1"/>
    <xf numFmtId="0" fontId="27" fillId="0" borderId="0" xfId="0" applyFont="1"/>
    <xf numFmtId="0" fontId="25" fillId="0" borderId="1" xfId="0" applyFont="1" applyFill="1" applyBorder="1"/>
    <xf numFmtId="0" fontId="26" fillId="0" borderId="1" xfId="0" applyFont="1" applyFill="1" applyBorder="1"/>
    <xf numFmtId="0" fontId="27" fillId="0" borderId="1" xfId="0" applyFont="1" applyFill="1" applyBorder="1"/>
    <xf numFmtId="167" fontId="26" fillId="0" borderId="1" xfId="1" applyNumberFormat="1" applyFont="1" applyFill="1" applyBorder="1"/>
    <xf numFmtId="0" fontId="25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center" vertical="center"/>
    </xf>
    <xf numFmtId="167" fontId="26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4" fontId="26" fillId="0" borderId="1" xfId="1" applyNumberFormat="1" applyFont="1" applyFill="1" applyBorder="1" applyAlignment="1">
      <alignment horizontal="center" vertical="center"/>
    </xf>
    <xf numFmtId="44" fontId="25" fillId="0" borderId="1" xfId="1" applyFont="1" applyFill="1" applyBorder="1" applyAlignment="1">
      <alignment horizontal="center" vertical="center"/>
    </xf>
    <xf numFmtId="167" fontId="29" fillId="0" borderId="1" xfId="1" applyNumberFormat="1" applyFont="1" applyFill="1" applyBorder="1" applyAlignment="1">
      <alignment horizontal="center" vertical="center"/>
    </xf>
    <xf numFmtId="0" fontId="25" fillId="0" borderId="6" xfId="0" applyFont="1" applyFill="1" applyBorder="1"/>
    <xf numFmtId="0" fontId="26" fillId="0" borderId="6" xfId="0" applyFont="1" applyFill="1" applyBorder="1"/>
    <xf numFmtId="0" fontId="26" fillId="0" borderId="0" xfId="0" applyFont="1" applyFill="1"/>
    <xf numFmtId="6" fontId="26" fillId="0" borderId="1" xfId="0" applyNumberFormat="1" applyFont="1" applyFill="1" applyBorder="1"/>
    <xf numFmtId="8" fontId="26" fillId="0" borderId="1" xfId="0" applyNumberFormat="1" applyFont="1" applyFill="1" applyBorder="1"/>
    <xf numFmtId="10" fontId="26" fillId="0" borderId="1" xfId="0" applyNumberFormat="1" applyFont="1" applyFill="1" applyBorder="1"/>
    <xf numFmtId="9" fontId="26" fillId="0" borderId="1" xfId="0" applyNumberFormat="1" applyFont="1" applyFill="1" applyBorder="1"/>
    <xf numFmtId="0" fontId="25" fillId="0" borderId="0" xfId="0" applyFont="1" applyFill="1"/>
    <xf numFmtId="0" fontId="26" fillId="0" borderId="0" xfId="0" applyFont="1" applyFill="1" applyAlignment="1">
      <alignment wrapText="1"/>
    </xf>
    <xf numFmtId="167" fontId="26" fillId="0" borderId="0" xfId="0" applyNumberFormat="1" applyFont="1" applyFill="1"/>
    <xf numFmtId="0" fontId="26" fillId="0" borderId="9" xfId="0" applyFont="1" applyFill="1" applyBorder="1"/>
    <xf numFmtId="0" fontId="26" fillId="0" borderId="12" xfId="0" applyFont="1" applyFill="1" applyBorder="1"/>
    <xf numFmtId="167" fontId="26" fillId="0" borderId="0" xfId="0" applyNumberFormat="1" applyFont="1" applyFill="1" applyBorder="1"/>
    <xf numFmtId="167" fontId="26" fillId="0" borderId="13" xfId="0" applyNumberFormat="1" applyFont="1" applyFill="1" applyBorder="1"/>
    <xf numFmtId="0" fontId="26" fillId="0" borderId="12" xfId="0" applyFont="1" applyFill="1" applyBorder="1" applyAlignment="1">
      <alignment wrapText="1"/>
    </xf>
    <xf numFmtId="0" fontId="26" fillId="0" borderId="14" xfId="0" applyFont="1" applyFill="1" applyBorder="1"/>
    <xf numFmtId="167" fontId="26" fillId="0" borderId="15" xfId="0" applyNumberFormat="1" applyFont="1" applyFill="1" applyBorder="1"/>
    <xf numFmtId="167" fontId="26" fillId="0" borderId="16" xfId="0" applyNumberFormat="1" applyFont="1" applyFill="1" applyBorder="1"/>
    <xf numFmtId="44" fontId="24" fillId="0" borderId="0" xfId="1" applyFont="1"/>
    <xf numFmtId="0" fontId="2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5" borderId="4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70"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20"/>
      </font>
      <numFmt numFmtId="34" formatCode="_(&quot;$&quot;* #,##0.00_);_(&quot;$&quot;* \(#,##0.0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/>
        <strike val="0"/>
        <outline val="0"/>
        <shadow val="0"/>
        <u val="none"/>
        <vertAlign val="baseline"/>
        <sz val="20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numFmt numFmtId="2" formatCode="0.00"/>
      <alignment horizontal="left" vertical="bottom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alignment horizontal="left" vertical="bottom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alignment horizontal="left" vertical="bottom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2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0" relativeIndent="255" justifyLastLine="0" shrinkToFit="0" readingOrder="0"/>
    </dxf>
    <dxf>
      <alignment horizontal="left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</dxf>
    <dxf>
      <numFmt numFmtId="165" formatCode="&quot;$&quot;#,##0.00"/>
    </dxf>
    <dxf>
      <numFmt numFmtId="165" formatCode="&quot;$&quot;#,##0.00"/>
    </dxf>
    <dxf>
      <numFmt numFmtId="168" formatCode="0.0"/>
    </dxf>
    <dxf>
      <numFmt numFmtId="165" formatCode="&quot;$&quot;#,##0.00"/>
    </dxf>
    <dxf>
      <numFmt numFmtId="165" formatCode="&quot;$&quot;#,##0.00"/>
    </dxf>
    <dxf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border outline="0">
        <top style="medium">
          <color indexed="64"/>
        </top>
      </border>
    </dxf>
    <dxf>
      <alignment horizontal="general" vertical="bottom" textRotation="0" wrapText="1" indent="0" relativeIndent="255" justifyLastLine="0" shrinkToFit="0" readingOrder="0"/>
    </dxf>
    <dxf>
      <numFmt numFmtId="165" formatCode="&quot;$&quot;#,##0.00"/>
    </dxf>
    <dxf>
      <alignment horizontal="center" vertical="bottom" textRotation="0" wrapText="1" indent="0" relativeIndent="255" justifyLastLine="0" shrinkToFit="0" readingOrder="0"/>
    </dxf>
    <dxf>
      <numFmt numFmtId="168" formatCode="0.0"/>
      <alignment horizontal="center" vertical="bottom" textRotation="0" wrapText="1" indent="0" relativeIndent="255" justifyLastLine="0" shrinkToFit="0" readingOrder="0"/>
    </dxf>
    <dxf>
      <numFmt numFmtId="165" formatCode="&quot;$&quot;#,##0.00"/>
    </dxf>
    <dxf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alignment horizontal="general" vertical="bottom" textRotation="0" wrapText="1" indent="0" relativeIndent="255" justifyLastLine="0" shrinkToFit="0" readingOrder="0"/>
    </dxf>
    <dxf>
      <numFmt numFmtId="165" formatCode="&quot;$&quot;#,##0.00"/>
      <alignment horizontal="center" vertical="bottom" textRotation="0" wrapText="0" indent="0" relativeIndent="255" justifyLastLine="0" shrinkToFit="0" readingOrder="0"/>
    </dxf>
    <dxf>
      <numFmt numFmtId="165" formatCode="&quot;$&quot;#,##0.00"/>
      <alignment horizontal="center" vertical="bottom" textRotation="0" indent="0" relativeIndent="255" justifyLastLine="0" shrinkToFit="0" readingOrder="0"/>
    </dxf>
    <dxf>
      <numFmt numFmtId="165" formatCode="&quot;$&quot;#,##0.00"/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0.0"/>
      <alignment horizontal="center" vertical="bottom" textRotation="0" wrapText="0" indent="0" relativeIndent="255" justifyLastLine="0" shrinkToFit="0" readingOrder="0"/>
    </dxf>
    <dxf>
      <numFmt numFmtId="165" formatCode="&quot;$&quot;#,##0.00"/>
      <alignment horizontal="center" vertical="bottom" textRotation="0" wrapText="0" indent="0" relativeIndent="255" justifyLastLine="0" shrinkToFit="0" readingOrder="0"/>
    </dxf>
    <dxf>
      <numFmt numFmtId="165" formatCode="&quot;$&quot;#,##0.00"/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alignment horizontal="center" vertical="bottom" textRotation="0" indent="0" relativeIndent="255" justifyLastLine="0" shrinkToFit="0" readingOrder="0"/>
    </dxf>
    <dxf>
      <alignment horizontal="general" vertical="bottom" textRotation="0" wrapText="1" indent="0" relativeIndent="255" justifyLastLine="0" shrinkToFit="0" readingOrder="0"/>
    </dxf>
    <dxf>
      <alignment horizontal="general" vertical="bottom" textRotation="0" wrapText="1" indent="0" relativeIndent="255" justifyLastLine="0" shrinkToFit="0" readingOrder="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0" formatCode="General"/>
      <alignment horizontal="general" vertical="bottom" textRotation="0" wrapText="1" indent="0" relativeIndent="255" justifyLastLine="0" shrinkToFit="0" readingOrder="0"/>
    </dxf>
    <dxf>
      <numFmt numFmtId="165" formatCode="&quot;$&quot;#,##0.00"/>
    </dxf>
    <dxf>
      <numFmt numFmtId="165" formatCode="&quot;$&quot;#,##0.00"/>
    </dxf>
    <dxf>
      <alignment horizontal="center" vertical="bottom" textRotation="0" indent="0" relativeIndent="255" justifyLastLine="0" shrinkToFit="0" readingOrder="0"/>
    </dxf>
    <dxf>
      <alignment horizontal="general" vertical="bottom" textRotation="0" wrapText="1" indent="0" relativeIndent="255" justifyLastLine="0" shrinkToFit="0" readingOrder="0"/>
    </dxf>
    <dxf>
      <numFmt numFmtId="34" formatCode="_(&quot;$&quot;* #,##0.00_);_(&quot;$&quot;* \(#,##0.00\);_(&quot;$&quot;* &quot;-&quot;??_);_(@_)"/>
    </dxf>
    <dxf>
      <numFmt numFmtId="165" formatCode="&quot;$&quot;#,##0.00"/>
      <alignment horizontal="right" vertical="bottom" textRotation="0" wrapText="1" indent="0" relativeIndent="255" justifyLastLine="0" shrinkToFit="0" readingOrder="0"/>
    </dxf>
    <dxf>
      <numFmt numFmtId="34" formatCode="_(&quot;$&quot;* #,##0.00_);_(&quot;$&quot;* \(#,##0.00\);_(&quot;$&quot;* &quot;-&quot;??_);_(@_)"/>
    </dxf>
    <dxf>
      <numFmt numFmtId="2" formatCode="0.00"/>
      <alignment horizontal="center" vertical="bottom" textRotation="0" wrapText="1" indent="0" relativeIndent="255" justifyLastLine="0" shrinkToFit="0" readingOrder="0"/>
    </dxf>
    <dxf>
      <numFmt numFmtId="34" formatCode="_(&quot;$&quot;* #,##0.00_);_(&quot;$&quot;* \(#,##0.00\);_(&quot;$&quot;* &quot;-&quot;??_);_(@_)"/>
    </dxf>
    <dxf>
      <numFmt numFmtId="165" formatCode="&quot;$&quot;#,##0.00"/>
      <alignment horizontal="center" vertical="bottom" textRotation="0" wrapText="1" indent="0" relativeIndent="255" justifyLastLine="0" shrinkToFit="0" readingOrder="0"/>
    </dxf>
    <dxf>
      <alignment horizontal="general" vertical="bottom" textRotation="0" wrapText="1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pieChart>
        <c:varyColors val="1"/>
        <c:ser>
          <c:idx val="0"/>
          <c:order val="0"/>
          <c:tx>
            <c:strRef>
              <c:f>'Equip list and discrip'!$H$19</c:f>
              <c:strCache>
                <c:ptCount val="1"/>
                <c:pt idx="0">
                  <c:v> $135,099,254.00 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strRef>
              <c:f>'Equip list and discrip'!$P$21</c:f>
              <c:strCache>
                <c:ptCount val="1"/>
                <c:pt idx="0">
                  <c:v>$13,837,950.00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strRef>
              <c:f>'Equip list and discrip'!$X$25</c:f>
              <c:strCache>
                <c:ptCount val="1"/>
                <c:pt idx="0">
                  <c:v>$2,709,352.40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strRef>
              <c:f>'Equip list and discrip'!$AF$17</c:f>
              <c:strCache>
                <c:ptCount val="1"/>
                <c:pt idx="0">
                  <c:v>$517,410.00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/>
        <c:firstSliceAng val="0"/>
      </c:pieChart>
    </c:plotArea>
    <c:legend>
      <c:legendPos val="r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Capital Cost Analysis</a:t>
            </a:r>
          </a:p>
        </c:rich>
      </c:tx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FDA65"/>
              </a:solidFill>
            </c:spPr>
          </c:dPt>
          <c:dPt>
            <c:idx val="1"/>
            <c:spPr>
              <a:solidFill>
                <a:srgbClr val="DE4ECD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Gasifier, 74%</a:t>
                    </a:r>
                  </a:p>
                  <a:p>
                    <a:r>
                      <a:rPr lang="en-US"/>
                      <a:t>$135 mm</a:t>
                    </a:r>
                  </a:p>
                </c:rich>
              </c:tx>
              <c:dLblPos val="bestFit"/>
              <c:showSerName val="1"/>
              <c:showPercent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Sulfur</a:t>
                    </a:r>
                    <a:r>
                      <a:rPr lang="en-US" baseline="0"/>
                      <a:t> Removal</a:t>
                    </a:r>
                    <a:r>
                      <a:rPr lang="en-US"/>
                      <a:t>, 9%</a:t>
                    </a:r>
                  </a:p>
                  <a:p>
                    <a:r>
                      <a:rPr lang="en-US"/>
                      <a:t>$17 mm</a:t>
                    </a:r>
                  </a:p>
                </c:rich>
              </c:tx>
              <c:dLblPos val="bestFit"/>
              <c:showSerName val="1"/>
              <c:showPercent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CO2</a:t>
                    </a:r>
                    <a:r>
                      <a:rPr lang="en-US" baseline="0"/>
                      <a:t> Sequatration</a:t>
                    </a:r>
                    <a:r>
                      <a:rPr lang="en-US"/>
                      <a:t>, 17%</a:t>
                    </a:r>
                  </a:p>
                  <a:p>
                    <a:r>
                      <a:rPr lang="en-US"/>
                      <a:t> $31 mm</a:t>
                    </a:r>
                  </a:p>
                </c:rich>
              </c:tx>
              <c:dLblPos val="bestFit"/>
              <c:showSerName val="1"/>
              <c:showPercent val="1"/>
            </c:dLbl>
            <c:dLblPos val="bestFit"/>
            <c:showSerName val="1"/>
            <c:showPercent val="1"/>
            <c:showLeaderLines val="1"/>
          </c:dLbls>
          <c:val>
            <c:numRef>
              <c:f>'Equip list and discrip'!$B$21:$B$23</c:f>
              <c:numCache>
                <c:formatCode>"$"#,##0.00</c:formatCode>
                <c:ptCount val="3"/>
                <c:pt idx="0" formatCode="_(&quot;$&quot;* #,##0.00_);_(&quot;$&quot;* \(#,##0.00\);_(&quot;$&quot;* &quot;-&quot;??_);_(@_)">
                  <c:v>135099254</c:v>
                </c:pt>
                <c:pt idx="1">
                  <c:v>17064712</c:v>
                </c:pt>
                <c:pt idx="2">
                  <c:v>30311530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Cumulative Cash Flow ($MM/year) with $200/ton</a:t>
            </a:r>
          </a:p>
        </c:rich>
      </c:tx>
    </c:title>
    <c:view3D>
      <c:rAngAx val="1"/>
    </c:view3D>
    <c:plotArea>
      <c:layout>
        <c:manualLayout>
          <c:layoutTarget val="inner"/>
          <c:xMode val="edge"/>
          <c:yMode val="edge"/>
          <c:x val="0.16188944578696912"/>
          <c:y val="0.14281916461051392"/>
          <c:w val="0.7711119683909089"/>
          <c:h val="0.72339583957779896"/>
        </c:manualLayout>
      </c:layout>
      <c:bar3DChart>
        <c:barDir val="col"/>
        <c:grouping val="clustered"/>
        <c:ser>
          <c:idx val="0"/>
          <c:order val="0"/>
          <c:tx>
            <c:v>Cumulative Cash Flow ($MM/year)</c:v>
          </c:tx>
          <c:cat>
            <c:numRef>
              <c:f>Economics!$C$5:$V$5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Economics!$C$45:$V$45</c:f>
              <c:numCache>
                <c:formatCode>General</c:formatCode>
                <c:ptCount val="20"/>
                <c:pt idx="0" formatCode="_(&quot;$&quot;* #,##0_);_(&quot;$&quot;* \(#,##0\);_(&quot;$&quot;* &quot;-&quot;??_);_(@_)">
                  <c:v>-40.144609208000006</c:v>
                </c:pt>
                <c:pt idx="1">
                  <c:v>-216.08337024359238</c:v>
                </c:pt>
                <c:pt idx="2">
                  <c:v>-362.92480814584519</c:v>
                </c:pt>
                <c:pt idx="3">
                  <c:v>-307.56279565472613</c:v>
                </c:pt>
                <c:pt idx="4">
                  <c:v>-153.51995228009423</c:v>
                </c:pt>
                <c:pt idx="5">
                  <c:v>4.3930312501191198</c:v>
                </c:pt>
                <c:pt idx="6">
                  <c:v>166.42986787972254</c:v>
                </c:pt>
                <c:pt idx="7">
                  <c:v>332.83739681040299</c:v>
                </c:pt>
                <c:pt idx="8">
                  <c:v>503.85690204003436</c:v>
                </c:pt>
                <c:pt idx="9">
                  <c:v>665.51131141919359</c:v>
                </c:pt>
                <c:pt idx="10">
                  <c:v>846.46228071959865</c:v>
                </c:pt>
                <c:pt idx="11">
                  <c:v>1032.7271965322723</c:v>
                </c:pt>
                <c:pt idx="12">
                  <c:v>1224.5360794044695</c:v>
                </c:pt>
                <c:pt idx="13">
                  <c:v>1422.1184186944015</c:v>
                </c:pt>
                <c:pt idx="14">
                  <c:v>1607.6980708462002</c:v>
                </c:pt>
                <c:pt idx="15">
                  <c:v>1817.5174387321745</c:v>
                </c:pt>
                <c:pt idx="16">
                  <c:v>2033.8029176796369</c:v>
                </c:pt>
                <c:pt idx="17">
                  <c:v>2256.7889760574089</c:v>
                </c:pt>
                <c:pt idx="18">
                  <c:v>2486.7128547025354</c:v>
                </c:pt>
                <c:pt idx="19">
                  <c:v>2723.8150986820024</c:v>
                </c:pt>
              </c:numCache>
            </c:numRef>
          </c:val>
        </c:ser>
        <c:dLbls/>
        <c:shape val="cylinder"/>
        <c:axId val="111441792"/>
        <c:axId val="111448064"/>
        <c:axId val="0"/>
      </c:bar3DChart>
      <c:catAx>
        <c:axId val="11144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Years</a:t>
                </a:r>
              </a:p>
            </c:rich>
          </c:tx>
          <c:layout>
            <c:manualLayout>
              <c:xMode val="edge"/>
              <c:yMode val="edge"/>
              <c:x val="0.50048103076519068"/>
              <c:y val="0.89833987319914177"/>
            </c:manualLayout>
          </c:layout>
        </c:title>
        <c:numFmt formatCode="General" sourceLinked="1"/>
        <c:tickLblPos val="nextTo"/>
        <c:crossAx val="111448064"/>
        <c:crosses val="autoZero"/>
        <c:auto val="1"/>
        <c:lblAlgn val="ctr"/>
        <c:lblOffset val="100"/>
      </c:catAx>
      <c:valAx>
        <c:axId val="111448064"/>
        <c:scaling>
          <c:orientation val="minMax"/>
          <c:min val="-250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baseline="0"/>
                  <a:t> ($MM/YR)</a:t>
                </a:r>
                <a:endParaRPr lang="en-US"/>
              </a:p>
            </c:rich>
          </c:tx>
        </c:title>
        <c:numFmt formatCode="&quot;$&quot;#,##0" sourceLinked="0"/>
        <c:tickLblPos val="nextTo"/>
        <c:crossAx val="111441792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IRR vs. Syngas Price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Graphs!$D$2:$D$8</c:f>
              <c:numCache>
                <c:formatCode>0.00%</c:formatCode>
                <c:ptCount val="7"/>
                <c:pt idx="0">
                  <c:v>-6.6607769327532984E-2</c:v>
                </c:pt>
                <c:pt idx="1">
                  <c:v>-1.835469771131415E-2</c:v>
                </c:pt>
                <c:pt idx="2">
                  <c:v>1.2217231567797304E-2</c:v>
                </c:pt>
                <c:pt idx="3">
                  <c:v>3.5835205400919667E-2</c:v>
                </c:pt>
                <c:pt idx="4">
                  <c:v>5.5717693554777625E-2</c:v>
                </c:pt>
                <c:pt idx="5">
                  <c:v>7.3279449979839262E-2</c:v>
                </c:pt>
                <c:pt idx="6">
                  <c:v>8.9272189412370251E-2</c:v>
                </c:pt>
              </c:numCache>
            </c:numRef>
          </c:yVal>
          <c:smooth val="1"/>
        </c:ser>
        <c:dLbls/>
        <c:axId val="112132096"/>
        <c:axId val="112134016"/>
      </c:scatterChart>
      <c:valAx>
        <c:axId val="112132096"/>
        <c:scaling>
          <c:orientation val="minMax"/>
          <c:min val="1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</a:t>
                </a:r>
                <a:r>
                  <a:rPr lang="en-US" baseline="0"/>
                  <a:t> ($/ton)</a:t>
                </a:r>
                <a:endParaRPr lang="en-US"/>
              </a:p>
            </c:rich>
          </c:tx>
        </c:title>
        <c:numFmt formatCode="&quot;$&quot;#,##0.00" sourceLinked="1"/>
        <c:majorTickMark val="none"/>
        <c:tickLblPos val="nextTo"/>
        <c:crossAx val="112134016"/>
        <c:crosses val="autoZero"/>
        <c:crossBetween val="midCat"/>
      </c:valAx>
      <c:valAx>
        <c:axId val="1121340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Rate of return</a:t>
                </a:r>
                <a:endParaRPr lang="en-US"/>
              </a:p>
            </c:rich>
          </c:tx>
        </c:title>
        <c:numFmt formatCode="0.00%" sourceLinked="1"/>
        <c:majorTickMark val="none"/>
        <c:tickLblPos val="nextTo"/>
        <c:crossAx val="11213209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NPV Vs.</a:t>
            </a:r>
            <a:r>
              <a:rPr lang="en-US" baseline="0"/>
              <a:t> Syngas Prices</a:t>
            </a:r>
            <a:endParaRPr lang="en-US"/>
          </a:p>
        </c:rich>
      </c:tx>
    </c:title>
    <c:plotArea>
      <c:layout/>
      <c:scatterChart>
        <c:scatterStyle val="smoothMarker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Graphs!$C$2:$C$8</c:f>
              <c:numCache>
                <c:formatCode>"$"#,##0.00</c:formatCode>
                <c:ptCount val="7"/>
                <c:pt idx="0">
                  <c:v>-276.01182544681262</c:v>
                </c:pt>
                <c:pt idx="1">
                  <c:v>-201.36896830395548</c:v>
                </c:pt>
                <c:pt idx="2">
                  <c:v>-126.72611116109863</c:v>
                </c:pt>
                <c:pt idx="3">
                  <c:v>-52.083254018241355</c:v>
                </c:pt>
                <c:pt idx="4">
                  <c:v>22.559603124615727</c:v>
                </c:pt>
                <c:pt idx="5">
                  <c:v>97.202460267472873</c:v>
                </c:pt>
                <c:pt idx="6">
                  <c:v>171.8453174103301</c:v>
                </c:pt>
              </c:numCache>
            </c:numRef>
          </c:yVal>
          <c:smooth val="1"/>
        </c:ser>
        <c:dLbls/>
        <c:axId val="112146688"/>
        <c:axId val="112148864"/>
      </c:scatterChart>
      <c:valAx>
        <c:axId val="112146688"/>
        <c:scaling>
          <c:orientation val="minMax"/>
          <c:min val="1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Syngas($/ton)</a:t>
                </a:r>
              </a:p>
            </c:rich>
          </c:tx>
        </c:title>
        <c:numFmt formatCode="&quot;$&quot;#,##0.00" sourceLinked="1"/>
        <c:majorTickMark val="none"/>
        <c:tickLblPos val="nextTo"/>
        <c:crossAx val="112148864"/>
        <c:crosses val="autoZero"/>
        <c:crossBetween val="midCat"/>
      </c:valAx>
      <c:valAx>
        <c:axId val="112148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Present value </a:t>
                </a:r>
                <a:r>
                  <a:rPr lang="en-US"/>
                  <a:t>($million)</a:t>
                </a:r>
              </a:p>
            </c:rich>
          </c:tx>
        </c:title>
        <c:numFmt formatCode="&quot;$&quot;#,##0.00" sourceLinked="1"/>
        <c:majorTickMark val="none"/>
        <c:tickLblPos val="nextTo"/>
        <c:crossAx val="11214668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chart" Target="../charts/chart2.xml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chart" Target="../charts/chart1.xml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518584</xdr:colOff>
      <xdr:row>2</xdr:row>
      <xdr:rowOff>21167</xdr:rowOff>
    </xdr:from>
    <xdr:to>
      <xdr:col>19</xdr:col>
      <xdr:colOff>218018</xdr:colOff>
      <xdr:row>5</xdr:row>
      <xdr:rowOff>62315</xdr:rowOff>
    </xdr:to>
    <xdr:sp macro="" textlink="">
      <xdr:nvSpPr>
        <xdr:cNvPr id="2" name="Flowchart: Alternate Process 1"/>
        <xdr:cNvSpPr/>
      </xdr:nvSpPr>
      <xdr:spPr>
        <a:xfrm>
          <a:off x="12005734" y="402167"/>
          <a:ext cx="337609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171451</xdr:colOff>
      <xdr:row>2</xdr:row>
      <xdr:rowOff>84667</xdr:rowOff>
    </xdr:from>
    <xdr:to>
      <xdr:col>1</xdr:col>
      <xdr:colOff>42334</xdr:colOff>
      <xdr:row>5</xdr:row>
      <xdr:rowOff>31750</xdr:rowOff>
    </xdr:to>
    <xdr:sp macro="" textlink="">
      <xdr:nvSpPr>
        <xdr:cNvPr id="3" name="Rectangle 2"/>
        <xdr:cNvSpPr/>
      </xdr:nvSpPr>
      <xdr:spPr>
        <a:xfrm>
          <a:off x="171451" y="465667"/>
          <a:ext cx="509058" cy="51858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0</xdr:col>
      <xdr:colOff>275166</xdr:colOff>
      <xdr:row>6</xdr:row>
      <xdr:rowOff>137583</xdr:rowOff>
    </xdr:from>
    <xdr:to>
      <xdr:col>1</xdr:col>
      <xdr:colOff>52916</xdr:colOff>
      <xdr:row>9</xdr:row>
      <xdr:rowOff>137583</xdr:rowOff>
    </xdr:to>
    <xdr:sp macro="" textlink="">
      <xdr:nvSpPr>
        <xdr:cNvPr id="4" name="Rectangle 3"/>
        <xdr:cNvSpPr/>
      </xdr:nvSpPr>
      <xdr:spPr>
        <a:xfrm>
          <a:off x="275166" y="1280583"/>
          <a:ext cx="415925" cy="571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O2</a:t>
          </a:r>
        </a:p>
      </xdr:txBody>
    </xdr:sp>
    <xdr:clientData/>
  </xdr:twoCellAnchor>
  <xdr:twoCellAnchor>
    <xdr:from>
      <xdr:col>1</xdr:col>
      <xdr:colOff>698501</xdr:colOff>
      <xdr:row>3</xdr:row>
      <xdr:rowOff>127000</xdr:rowOff>
    </xdr:from>
    <xdr:to>
      <xdr:col>1</xdr:col>
      <xdr:colOff>1407583</xdr:colOff>
      <xdr:row>10</xdr:row>
      <xdr:rowOff>42333</xdr:rowOff>
    </xdr:to>
    <xdr:sp macro="" textlink="">
      <xdr:nvSpPr>
        <xdr:cNvPr id="5" name="Flowchart: Alternate Process 4"/>
        <xdr:cNvSpPr/>
      </xdr:nvSpPr>
      <xdr:spPr>
        <a:xfrm>
          <a:off x="1279526" y="698500"/>
          <a:ext cx="0" cy="1248833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l"/>
          <a:endParaRPr lang="en-US" sz="1100"/>
        </a:p>
        <a:p>
          <a:pPr algn="l"/>
          <a:endParaRPr lang="en-US" sz="1100"/>
        </a:p>
        <a:p>
          <a:pPr algn="l"/>
          <a:r>
            <a:rPr lang="en-US" sz="1100"/>
            <a:t>gasifier</a:t>
          </a:r>
        </a:p>
      </xdr:txBody>
    </xdr:sp>
    <xdr:clientData/>
  </xdr:twoCellAnchor>
  <xdr:twoCellAnchor>
    <xdr:from>
      <xdr:col>1</xdr:col>
      <xdr:colOff>42334</xdr:colOff>
      <xdr:row>3</xdr:row>
      <xdr:rowOff>153459</xdr:rowOff>
    </xdr:from>
    <xdr:to>
      <xdr:col>1</xdr:col>
      <xdr:colOff>709082</xdr:colOff>
      <xdr:row>7</xdr:row>
      <xdr:rowOff>52916</xdr:rowOff>
    </xdr:to>
    <xdr:cxnSp macro="">
      <xdr:nvCxnSpPr>
        <xdr:cNvPr id="6" name="Elbow Connector 5"/>
        <xdr:cNvCxnSpPr>
          <a:stCxn id="3" idx="3"/>
        </xdr:cNvCxnSpPr>
      </xdr:nvCxnSpPr>
      <xdr:spPr>
        <a:xfrm>
          <a:off x="680509" y="724959"/>
          <a:ext cx="600073" cy="66145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1883833</xdr:colOff>
      <xdr:row>3</xdr:row>
      <xdr:rowOff>21168</xdr:rowOff>
    </xdr:from>
    <xdr:to>
      <xdr:col>2</xdr:col>
      <xdr:colOff>296333</xdr:colOff>
      <xdr:row>6</xdr:row>
      <xdr:rowOff>21168</xdr:rowOff>
    </xdr:to>
    <xdr:sp macro="" textlink="">
      <xdr:nvSpPr>
        <xdr:cNvPr id="7" name="Rounded Rectangle 6"/>
        <xdr:cNvSpPr/>
      </xdr:nvSpPr>
      <xdr:spPr>
        <a:xfrm>
          <a:off x="1274233" y="592668"/>
          <a:ext cx="298450" cy="5715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l"/>
          <a:r>
            <a:rPr lang="en-US" sz="1100"/>
            <a:t>HX</a:t>
          </a:r>
        </a:p>
      </xdr:txBody>
    </xdr:sp>
    <xdr:clientData/>
  </xdr:twoCellAnchor>
  <xdr:twoCellAnchor>
    <xdr:from>
      <xdr:col>1</xdr:col>
      <xdr:colOff>1883832</xdr:colOff>
      <xdr:row>6</xdr:row>
      <xdr:rowOff>169333</xdr:rowOff>
    </xdr:from>
    <xdr:to>
      <xdr:col>2</xdr:col>
      <xdr:colOff>296332</xdr:colOff>
      <xdr:row>9</xdr:row>
      <xdr:rowOff>169333</xdr:rowOff>
    </xdr:to>
    <xdr:sp macro="" textlink="">
      <xdr:nvSpPr>
        <xdr:cNvPr id="8" name="Rounded Rectangle 7"/>
        <xdr:cNvSpPr/>
      </xdr:nvSpPr>
      <xdr:spPr>
        <a:xfrm>
          <a:off x="1274232" y="1312333"/>
          <a:ext cx="298450" cy="5715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52916</xdr:colOff>
      <xdr:row>8</xdr:row>
      <xdr:rowOff>42333</xdr:rowOff>
    </xdr:from>
    <xdr:to>
      <xdr:col>1</xdr:col>
      <xdr:colOff>338666</xdr:colOff>
      <xdr:row>8</xdr:row>
      <xdr:rowOff>52916</xdr:rowOff>
    </xdr:to>
    <xdr:cxnSp macro="">
      <xdr:nvCxnSpPr>
        <xdr:cNvPr id="9" name="Straight Connector 8"/>
        <xdr:cNvCxnSpPr>
          <a:stCxn id="4" idx="3"/>
        </xdr:cNvCxnSpPr>
      </xdr:nvCxnSpPr>
      <xdr:spPr>
        <a:xfrm>
          <a:off x="691091" y="1566333"/>
          <a:ext cx="28575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359834</xdr:colOff>
      <xdr:row>7</xdr:row>
      <xdr:rowOff>52917</xdr:rowOff>
    </xdr:from>
    <xdr:to>
      <xdr:col>1</xdr:col>
      <xdr:colOff>359834</xdr:colOff>
      <xdr:row>8</xdr:row>
      <xdr:rowOff>52917</xdr:rowOff>
    </xdr:to>
    <xdr:cxnSp macro="">
      <xdr:nvCxnSpPr>
        <xdr:cNvPr id="10" name="Straight Connector 9"/>
        <xdr:cNvCxnSpPr/>
      </xdr:nvCxnSpPr>
      <xdr:spPr>
        <a:xfrm>
          <a:off x="998009" y="1386417"/>
          <a:ext cx="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1053042</xdr:colOff>
      <xdr:row>3</xdr:row>
      <xdr:rowOff>21168</xdr:rowOff>
    </xdr:from>
    <xdr:to>
      <xdr:col>1</xdr:col>
      <xdr:colOff>2211916</xdr:colOff>
      <xdr:row>3</xdr:row>
      <xdr:rowOff>127000</xdr:rowOff>
    </xdr:to>
    <xdr:cxnSp macro="">
      <xdr:nvCxnSpPr>
        <xdr:cNvPr id="11" name="Elbow Connector 10"/>
        <xdr:cNvCxnSpPr>
          <a:stCxn id="5" idx="0"/>
          <a:endCxn id="7" idx="0"/>
        </xdr:cNvCxnSpPr>
      </xdr:nvCxnSpPr>
      <xdr:spPr>
        <a:xfrm rot="5400000" flipH="1" flipV="1">
          <a:off x="1222376" y="642409"/>
          <a:ext cx="105832" cy="6349"/>
        </a:xfrm>
        <a:prstGeom prst="bentConnector3">
          <a:avLst>
            <a:gd name="adj1" fmla="val 31600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66144</xdr:colOff>
      <xdr:row>6</xdr:row>
      <xdr:rowOff>19051</xdr:rowOff>
    </xdr:from>
    <xdr:to>
      <xdr:col>2</xdr:col>
      <xdr:colOff>709083</xdr:colOff>
      <xdr:row>9</xdr:row>
      <xdr:rowOff>169333</xdr:rowOff>
    </xdr:to>
    <xdr:cxnSp macro="">
      <xdr:nvCxnSpPr>
        <xdr:cNvPr id="12" name="Elbow Connector 11"/>
        <xdr:cNvCxnSpPr>
          <a:stCxn id="8" idx="2"/>
          <a:endCxn id="19" idx="2"/>
        </xdr:cNvCxnSpPr>
      </xdr:nvCxnSpPr>
      <xdr:spPr>
        <a:xfrm rot="5400000" flipH="1" flipV="1">
          <a:off x="1269735" y="1234810"/>
          <a:ext cx="721782" cy="576264"/>
        </a:xfrm>
        <a:prstGeom prst="bentConnector4">
          <a:avLst>
            <a:gd name="adj1" fmla="val -14517"/>
            <a:gd name="adj2" fmla="val 6790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369357</xdr:colOff>
      <xdr:row>4</xdr:row>
      <xdr:rowOff>10584</xdr:rowOff>
    </xdr:from>
    <xdr:to>
      <xdr:col>5</xdr:col>
      <xdr:colOff>381000</xdr:colOff>
      <xdr:row>7</xdr:row>
      <xdr:rowOff>84540</xdr:rowOff>
    </xdr:to>
    <xdr:sp macro="" textlink="">
      <xdr:nvSpPr>
        <xdr:cNvPr id="13" name="Flowchart: Off-page Connector 12"/>
        <xdr:cNvSpPr/>
      </xdr:nvSpPr>
      <xdr:spPr>
        <a:xfrm>
          <a:off x="2922057" y="772584"/>
          <a:ext cx="649818" cy="645456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Candle</a:t>
          </a:r>
        </a:p>
        <a:p>
          <a:pPr algn="ctr"/>
          <a:r>
            <a:rPr lang="en-US" sz="1100"/>
            <a:t>Filter</a:t>
          </a:r>
        </a:p>
        <a:p>
          <a:pPr algn="l"/>
          <a:endParaRPr lang="en-US" sz="1100"/>
        </a:p>
      </xdr:txBody>
    </xdr:sp>
    <xdr:clientData/>
  </xdr:twoCellAnchor>
  <xdr:twoCellAnchor>
    <xdr:from>
      <xdr:col>1</xdr:col>
      <xdr:colOff>2211915</xdr:colOff>
      <xdr:row>6</xdr:row>
      <xdr:rowOff>21168</xdr:rowOff>
    </xdr:from>
    <xdr:to>
      <xdr:col>1</xdr:col>
      <xdr:colOff>2211916</xdr:colOff>
      <xdr:row>6</xdr:row>
      <xdr:rowOff>169333</xdr:rowOff>
    </xdr:to>
    <xdr:cxnSp macro="">
      <xdr:nvCxnSpPr>
        <xdr:cNvPr id="14" name="Straight Arrow Connector 13"/>
        <xdr:cNvCxnSpPr>
          <a:stCxn id="7" idx="2"/>
          <a:endCxn id="8" idx="0"/>
        </xdr:cNvCxnSpPr>
      </xdr:nvCxnSpPr>
      <xdr:spPr>
        <a:xfrm flipH="1">
          <a:off x="1278465" y="1164168"/>
          <a:ext cx="1" cy="14816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552451</xdr:colOff>
      <xdr:row>1</xdr:row>
      <xdr:rowOff>85726</xdr:rowOff>
    </xdr:from>
    <xdr:to>
      <xdr:col>2</xdr:col>
      <xdr:colOff>1141943</xdr:colOff>
      <xdr:row>4</xdr:row>
      <xdr:rowOff>43391</xdr:rowOff>
    </xdr:to>
    <xdr:cxnSp macro="">
      <xdr:nvCxnSpPr>
        <xdr:cNvPr id="15" name="Elbow Connector 14"/>
        <xdr:cNvCxnSpPr/>
      </xdr:nvCxnSpPr>
      <xdr:spPr>
        <a:xfrm rot="10800000">
          <a:off x="1190626" y="276226"/>
          <a:ext cx="722842" cy="529165"/>
        </a:xfrm>
        <a:prstGeom prst="bentConnector3">
          <a:avLst>
            <a:gd name="adj1" fmla="val 161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560916</xdr:colOff>
      <xdr:row>1</xdr:row>
      <xdr:rowOff>74083</xdr:rowOff>
    </xdr:from>
    <xdr:to>
      <xdr:col>1</xdr:col>
      <xdr:colOff>560916</xdr:colOff>
      <xdr:row>4</xdr:row>
      <xdr:rowOff>158750</xdr:rowOff>
    </xdr:to>
    <xdr:cxnSp macro="">
      <xdr:nvCxnSpPr>
        <xdr:cNvPr id="16" name="Straight Connector 15"/>
        <xdr:cNvCxnSpPr/>
      </xdr:nvCxnSpPr>
      <xdr:spPr>
        <a:xfrm>
          <a:off x="1199091" y="264583"/>
          <a:ext cx="0" cy="6561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560916</xdr:colOff>
      <xdr:row>4</xdr:row>
      <xdr:rowOff>169333</xdr:rowOff>
    </xdr:from>
    <xdr:to>
      <xdr:col>1</xdr:col>
      <xdr:colOff>698500</xdr:colOff>
      <xdr:row>4</xdr:row>
      <xdr:rowOff>179917</xdr:rowOff>
    </xdr:to>
    <xdr:cxnSp macro="">
      <xdr:nvCxnSpPr>
        <xdr:cNvPr id="17" name="Straight Arrow Connector 16"/>
        <xdr:cNvCxnSpPr/>
      </xdr:nvCxnSpPr>
      <xdr:spPr>
        <a:xfrm flipV="1">
          <a:off x="1199091" y="931333"/>
          <a:ext cx="80434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228600</xdr:colOff>
      <xdr:row>5</xdr:row>
      <xdr:rowOff>35393</xdr:rowOff>
    </xdr:from>
    <xdr:to>
      <xdr:col>4</xdr:col>
      <xdr:colOff>378882</xdr:colOff>
      <xdr:row>5</xdr:row>
      <xdr:rowOff>47625</xdr:rowOff>
    </xdr:to>
    <xdr:cxnSp macro="">
      <xdr:nvCxnSpPr>
        <xdr:cNvPr id="18" name="Straight Arrow Connector 17"/>
        <xdr:cNvCxnSpPr/>
      </xdr:nvCxnSpPr>
      <xdr:spPr>
        <a:xfrm flipV="1">
          <a:off x="2143125" y="987893"/>
          <a:ext cx="788457" cy="1223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709084</xdr:colOff>
      <xdr:row>4</xdr:row>
      <xdr:rowOff>13759</xdr:rowOff>
    </xdr:from>
    <xdr:to>
      <xdr:col>3</xdr:col>
      <xdr:colOff>228600</xdr:colOff>
      <xdr:row>8</xdr:row>
      <xdr:rowOff>24343</xdr:rowOff>
    </xdr:to>
    <xdr:sp macro="" textlink="">
      <xdr:nvSpPr>
        <xdr:cNvPr id="19" name="Can 18"/>
        <xdr:cNvSpPr/>
      </xdr:nvSpPr>
      <xdr:spPr>
        <a:xfrm>
          <a:off x="1918759" y="775759"/>
          <a:ext cx="224366" cy="772584"/>
        </a:xfrm>
        <a:prstGeom prst="ca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Cyclone</a:t>
          </a:r>
        </a:p>
      </xdr:txBody>
    </xdr:sp>
    <xdr:clientData/>
  </xdr:twoCellAnchor>
  <xdr:twoCellAnchor>
    <xdr:from>
      <xdr:col>8</xdr:col>
      <xdr:colOff>171449</xdr:colOff>
      <xdr:row>2</xdr:row>
      <xdr:rowOff>57150</xdr:rowOff>
    </xdr:from>
    <xdr:to>
      <xdr:col>8</xdr:col>
      <xdr:colOff>885825</xdr:colOff>
      <xdr:row>5</xdr:row>
      <xdr:rowOff>98298</xdr:rowOff>
    </xdr:to>
    <xdr:sp macro="" textlink="">
      <xdr:nvSpPr>
        <xdr:cNvPr id="20" name="Flowchart: Alternate Process 19"/>
        <xdr:cNvSpPr/>
      </xdr:nvSpPr>
      <xdr:spPr>
        <a:xfrm>
          <a:off x="5276849" y="438150"/>
          <a:ext cx="466726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COS</a:t>
          </a:r>
        </a:p>
        <a:p>
          <a:pPr algn="ctr"/>
          <a:r>
            <a:rPr lang="en-US" sz="1100"/>
            <a:t>Reactor</a:t>
          </a:r>
        </a:p>
      </xdr:txBody>
    </xdr:sp>
    <xdr:clientData/>
  </xdr:twoCellAnchor>
  <xdr:twoCellAnchor>
    <xdr:from>
      <xdr:col>10</xdr:col>
      <xdr:colOff>495300</xdr:colOff>
      <xdr:row>2</xdr:row>
      <xdr:rowOff>28574</xdr:rowOff>
    </xdr:from>
    <xdr:to>
      <xdr:col>10</xdr:col>
      <xdr:colOff>800100</xdr:colOff>
      <xdr:row>5</xdr:row>
      <xdr:rowOff>190499</xdr:rowOff>
    </xdr:to>
    <xdr:sp macro="" textlink="">
      <xdr:nvSpPr>
        <xdr:cNvPr id="21" name="Rectangle 20"/>
        <xdr:cNvSpPr/>
      </xdr:nvSpPr>
      <xdr:spPr>
        <a:xfrm>
          <a:off x="6877050" y="409574"/>
          <a:ext cx="142875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endParaRPr lang="en-US" sz="1100"/>
        </a:p>
      </xdr:txBody>
    </xdr:sp>
    <xdr:clientData/>
  </xdr:twoCellAnchor>
  <xdr:twoCellAnchor>
    <xdr:from>
      <xdr:col>10</xdr:col>
      <xdr:colOff>95250</xdr:colOff>
      <xdr:row>6</xdr:row>
      <xdr:rowOff>28575</xdr:rowOff>
    </xdr:from>
    <xdr:to>
      <xdr:col>10</xdr:col>
      <xdr:colOff>390525</xdr:colOff>
      <xdr:row>10</xdr:row>
      <xdr:rowOff>38100</xdr:rowOff>
    </xdr:to>
    <xdr:sp macro="" textlink="">
      <xdr:nvSpPr>
        <xdr:cNvPr id="22" name="Rectangle 21"/>
        <xdr:cNvSpPr/>
      </xdr:nvSpPr>
      <xdr:spPr>
        <a:xfrm>
          <a:off x="6477000" y="1171575"/>
          <a:ext cx="295275" cy="7715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4234</xdr:colOff>
      <xdr:row>1</xdr:row>
      <xdr:rowOff>47626</xdr:rowOff>
    </xdr:from>
    <xdr:to>
      <xdr:col>14</xdr:col>
      <xdr:colOff>560918</xdr:colOff>
      <xdr:row>5</xdr:row>
      <xdr:rowOff>104775</xdr:rowOff>
    </xdr:to>
    <xdr:sp macro="" textlink="">
      <xdr:nvSpPr>
        <xdr:cNvPr id="23" name="Rectangle 22"/>
        <xdr:cNvSpPr/>
      </xdr:nvSpPr>
      <xdr:spPr>
        <a:xfrm>
          <a:off x="8938684" y="238126"/>
          <a:ext cx="556684" cy="819149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4234</xdr:colOff>
      <xdr:row>5</xdr:row>
      <xdr:rowOff>142875</xdr:rowOff>
    </xdr:from>
    <xdr:to>
      <xdr:col>14</xdr:col>
      <xdr:colOff>560917</xdr:colOff>
      <xdr:row>10</xdr:row>
      <xdr:rowOff>0</xdr:rowOff>
    </xdr:to>
    <xdr:sp macro="" textlink="">
      <xdr:nvSpPr>
        <xdr:cNvPr id="24" name="Rectangle 23"/>
        <xdr:cNvSpPr/>
      </xdr:nvSpPr>
      <xdr:spPr>
        <a:xfrm>
          <a:off x="8938684" y="1095375"/>
          <a:ext cx="556683" cy="809625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685799</xdr:colOff>
      <xdr:row>7</xdr:row>
      <xdr:rowOff>114301</xdr:rowOff>
    </xdr:from>
    <xdr:to>
      <xdr:col>9</xdr:col>
      <xdr:colOff>590550</xdr:colOff>
      <xdr:row>10</xdr:row>
      <xdr:rowOff>57151</xdr:rowOff>
    </xdr:to>
    <xdr:sp macro="" textlink="">
      <xdr:nvSpPr>
        <xdr:cNvPr id="25" name="Oval 24"/>
        <xdr:cNvSpPr/>
      </xdr:nvSpPr>
      <xdr:spPr>
        <a:xfrm>
          <a:off x="5743574" y="1447801"/>
          <a:ext cx="590551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 1</a:t>
          </a:r>
        </a:p>
      </xdr:txBody>
    </xdr:sp>
    <xdr:clientData/>
  </xdr:twoCellAnchor>
  <xdr:twoCellAnchor>
    <xdr:from>
      <xdr:col>12</xdr:col>
      <xdr:colOff>3175</xdr:colOff>
      <xdr:row>2</xdr:row>
      <xdr:rowOff>161925</xdr:rowOff>
    </xdr:from>
    <xdr:to>
      <xdr:col>13</xdr:col>
      <xdr:colOff>247651</xdr:colOff>
      <xdr:row>5</xdr:row>
      <xdr:rowOff>104775</xdr:rowOff>
    </xdr:to>
    <xdr:sp macro="" textlink="">
      <xdr:nvSpPr>
        <xdr:cNvPr id="26" name="Oval 25"/>
        <xdr:cNvSpPr/>
      </xdr:nvSpPr>
      <xdr:spPr>
        <a:xfrm>
          <a:off x="7661275" y="542925"/>
          <a:ext cx="882651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Cooler 2</a:t>
          </a:r>
        </a:p>
      </xdr:txBody>
    </xdr:sp>
    <xdr:clientData/>
  </xdr:twoCellAnchor>
  <xdr:twoCellAnchor>
    <xdr:from>
      <xdr:col>13</xdr:col>
      <xdr:colOff>228600</xdr:colOff>
      <xdr:row>6</xdr:row>
      <xdr:rowOff>171450</xdr:rowOff>
    </xdr:from>
    <xdr:to>
      <xdr:col>13</xdr:col>
      <xdr:colOff>581025</xdr:colOff>
      <xdr:row>10</xdr:row>
      <xdr:rowOff>95250</xdr:rowOff>
    </xdr:to>
    <xdr:sp macro="" textlink="">
      <xdr:nvSpPr>
        <xdr:cNvPr id="27" name="Rectangle 26"/>
        <xdr:cNvSpPr/>
      </xdr:nvSpPr>
      <xdr:spPr>
        <a:xfrm>
          <a:off x="8524875" y="1314450"/>
          <a:ext cx="352425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828675</xdr:colOff>
      <xdr:row>6</xdr:row>
      <xdr:rowOff>171450</xdr:rowOff>
    </xdr:from>
    <xdr:to>
      <xdr:col>12</xdr:col>
      <xdr:colOff>561975</xdr:colOff>
      <xdr:row>9</xdr:row>
      <xdr:rowOff>57150</xdr:rowOff>
    </xdr:to>
    <xdr:sp macro="" textlink="">
      <xdr:nvSpPr>
        <xdr:cNvPr id="28" name="Rounded Rectangle 27"/>
        <xdr:cNvSpPr/>
      </xdr:nvSpPr>
      <xdr:spPr>
        <a:xfrm>
          <a:off x="7658100" y="1314450"/>
          <a:ext cx="56197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528637</xdr:colOff>
      <xdr:row>5</xdr:row>
      <xdr:rowOff>98298</xdr:rowOff>
    </xdr:from>
    <xdr:to>
      <xdr:col>8</xdr:col>
      <xdr:colOff>685799</xdr:colOff>
      <xdr:row>8</xdr:row>
      <xdr:rowOff>180976</xdr:rowOff>
    </xdr:to>
    <xdr:cxnSp macro="">
      <xdr:nvCxnSpPr>
        <xdr:cNvPr id="29" name="Elbow Connector 28"/>
        <xdr:cNvCxnSpPr>
          <a:stCxn id="20" idx="2"/>
          <a:endCxn id="25" idx="2"/>
        </xdr:cNvCxnSpPr>
      </xdr:nvCxnSpPr>
      <xdr:spPr>
        <a:xfrm rot="16200000" flipH="1">
          <a:off x="5361717" y="1323118"/>
          <a:ext cx="654178" cy="109537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590550</xdr:colOff>
      <xdr:row>7</xdr:row>
      <xdr:rowOff>0</xdr:rowOff>
    </xdr:from>
    <xdr:to>
      <xdr:col>9</xdr:col>
      <xdr:colOff>919163</xdr:colOff>
      <xdr:row>8</xdr:row>
      <xdr:rowOff>180976</xdr:rowOff>
    </xdr:to>
    <xdr:cxnSp macro="">
      <xdr:nvCxnSpPr>
        <xdr:cNvPr id="30" name="Elbow Connector 29"/>
        <xdr:cNvCxnSpPr>
          <a:stCxn id="25" idx="6"/>
        </xdr:cNvCxnSpPr>
      </xdr:nvCxnSpPr>
      <xdr:spPr>
        <a:xfrm flipV="1">
          <a:off x="6334125" y="1333500"/>
          <a:ext cx="42863" cy="37147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1095375</xdr:colOff>
      <xdr:row>4</xdr:row>
      <xdr:rowOff>14287</xdr:rowOff>
    </xdr:from>
    <xdr:to>
      <xdr:col>10</xdr:col>
      <xdr:colOff>495300</xdr:colOff>
      <xdr:row>5</xdr:row>
      <xdr:rowOff>38100</xdr:rowOff>
    </xdr:to>
    <xdr:cxnSp macro="">
      <xdr:nvCxnSpPr>
        <xdr:cNvPr id="31" name="Elbow Connector 30"/>
        <xdr:cNvCxnSpPr>
          <a:endCxn id="21" idx="1"/>
        </xdr:cNvCxnSpPr>
      </xdr:nvCxnSpPr>
      <xdr:spPr>
        <a:xfrm flipV="1">
          <a:off x="6381750" y="776287"/>
          <a:ext cx="495300" cy="21431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647701</xdr:colOff>
      <xdr:row>5</xdr:row>
      <xdr:rowOff>190498</xdr:rowOff>
    </xdr:from>
    <xdr:to>
      <xdr:col>11</xdr:col>
      <xdr:colOff>828676</xdr:colOff>
      <xdr:row>8</xdr:row>
      <xdr:rowOff>19049</xdr:rowOff>
    </xdr:to>
    <xdr:cxnSp macro="">
      <xdr:nvCxnSpPr>
        <xdr:cNvPr id="32" name="Elbow Connector 31"/>
        <xdr:cNvCxnSpPr>
          <a:stCxn id="21" idx="2"/>
          <a:endCxn id="28" idx="1"/>
        </xdr:cNvCxnSpPr>
      </xdr:nvCxnSpPr>
      <xdr:spPr>
        <a:xfrm rot="16200000" flipH="1">
          <a:off x="7138988" y="1023936"/>
          <a:ext cx="400051" cy="63817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242888</xdr:colOff>
      <xdr:row>8</xdr:row>
      <xdr:rowOff>19050</xdr:rowOff>
    </xdr:from>
    <xdr:to>
      <xdr:col>11</xdr:col>
      <xdr:colOff>828675</xdr:colOff>
      <xdr:row>10</xdr:row>
      <xdr:rowOff>38100</xdr:rowOff>
    </xdr:to>
    <xdr:cxnSp macro="">
      <xdr:nvCxnSpPr>
        <xdr:cNvPr id="33" name="Elbow Connector 32"/>
        <xdr:cNvCxnSpPr>
          <a:stCxn id="22" idx="2"/>
          <a:endCxn id="28" idx="1"/>
        </xdr:cNvCxnSpPr>
      </xdr:nvCxnSpPr>
      <xdr:spPr>
        <a:xfrm rot="5400000" flipH="1" flipV="1">
          <a:off x="6941344" y="1226344"/>
          <a:ext cx="400050" cy="1033462"/>
        </a:xfrm>
        <a:prstGeom prst="bentConnector4">
          <a:avLst>
            <a:gd name="adj1" fmla="val -23809"/>
            <a:gd name="adj2" fmla="val 5429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647701</xdr:colOff>
      <xdr:row>2</xdr:row>
      <xdr:rowOff>28574</xdr:rowOff>
    </xdr:from>
    <xdr:to>
      <xdr:col>12</xdr:col>
      <xdr:colOff>466727</xdr:colOff>
      <xdr:row>2</xdr:row>
      <xdr:rowOff>161925</xdr:rowOff>
    </xdr:to>
    <xdr:cxnSp macro="">
      <xdr:nvCxnSpPr>
        <xdr:cNvPr id="34" name="Elbow Connector 33"/>
        <xdr:cNvCxnSpPr>
          <a:stCxn id="26" idx="0"/>
          <a:endCxn id="21" idx="0"/>
        </xdr:cNvCxnSpPr>
      </xdr:nvCxnSpPr>
      <xdr:spPr>
        <a:xfrm rot="16200000" flipV="1">
          <a:off x="7505701" y="-76201"/>
          <a:ext cx="133351" cy="1104901"/>
        </a:xfrm>
        <a:prstGeom prst="bentConnector3">
          <a:avLst>
            <a:gd name="adj1" fmla="val 22857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242888</xdr:colOff>
      <xdr:row>2</xdr:row>
      <xdr:rowOff>161925</xdr:rowOff>
    </xdr:from>
    <xdr:to>
      <xdr:col>12</xdr:col>
      <xdr:colOff>466726</xdr:colOff>
      <xdr:row>6</xdr:row>
      <xdr:rowOff>28575</xdr:rowOff>
    </xdr:to>
    <xdr:cxnSp macro="">
      <xdr:nvCxnSpPr>
        <xdr:cNvPr id="35" name="Elbow Connector 34"/>
        <xdr:cNvCxnSpPr>
          <a:stCxn id="26" idx="0"/>
          <a:endCxn id="22" idx="0"/>
        </xdr:cNvCxnSpPr>
      </xdr:nvCxnSpPr>
      <xdr:spPr>
        <a:xfrm rot="16200000" flipH="1" flipV="1">
          <a:off x="7060407" y="107156"/>
          <a:ext cx="628650" cy="1500188"/>
        </a:xfrm>
        <a:prstGeom prst="bentConnector3">
          <a:avLst>
            <a:gd name="adj1" fmla="val -3636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561975</xdr:colOff>
      <xdr:row>8</xdr:row>
      <xdr:rowOff>19050</xdr:rowOff>
    </xdr:from>
    <xdr:to>
      <xdr:col>13</xdr:col>
      <xdr:colOff>228600</xdr:colOff>
      <xdr:row>8</xdr:row>
      <xdr:rowOff>19050</xdr:rowOff>
    </xdr:to>
    <xdr:cxnSp macro="">
      <xdr:nvCxnSpPr>
        <xdr:cNvPr id="36" name="Straight Arrow Connector 35"/>
        <xdr:cNvCxnSpPr>
          <a:stCxn id="28" idx="3"/>
        </xdr:cNvCxnSpPr>
      </xdr:nvCxnSpPr>
      <xdr:spPr>
        <a:xfrm>
          <a:off x="8220075" y="1543050"/>
          <a:ext cx="3048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247651</xdr:colOff>
      <xdr:row>4</xdr:row>
      <xdr:rowOff>38100</xdr:rowOff>
    </xdr:from>
    <xdr:to>
      <xdr:col>13</xdr:col>
      <xdr:colOff>404813</xdr:colOff>
      <xdr:row>6</xdr:row>
      <xdr:rowOff>171450</xdr:rowOff>
    </xdr:to>
    <xdr:cxnSp macro="">
      <xdr:nvCxnSpPr>
        <xdr:cNvPr id="37" name="Elbow Connector 36"/>
        <xdr:cNvCxnSpPr>
          <a:stCxn id="27" idx="0"/>
          <a:endCxn id="26" idx="6"/>
        </xdr:cNvCxnSpPr>
      </xdr:nvCxnSpPr>
      <xdr:spPr>
        <a:xfrm rot="16200000" flipV="1">
          <a:off x="8365332" y="978694"/>
          <a:ext cx="514350" cy="15716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581025</xdr:colOff>
      <xdr:row>3</xdr:row>
      <xdr:rowOff>76201</xdr:rowOff>
    </xdr:from>
    <xdr:to>
      <xdr:col>14</xdr:col>
      <xdr:colOff>4234</xdr:colOff>
      <xdr:row>8</xdr:row>
      <xdr:rowOff>133350</xdr:rowOff>
    </xdr:to>
    <xdr:cxnSp macro="">
      <xdr:nvCxnSpPr>
        <xdr:cNvPr id="38" name="Elbow Connector 37"/>
        <xdr:cNvCxnSpPr>
          <a:stCxn id="27" idx="3"/>
          <a:endCxn id="23" idx="1"/>
        </xdr:cNvCxnSpPr>
      </xdr:nvCxnSpPr>
      <xdr:spPr>
        <a:xfrm flipV="1">
          <a:off x="8877300" y="647701"/>
          <a:ext cx="61384" cy="100964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1095375</xdr:colOff>
      <xdr:row>5</xdr:row>
      <xdr:rowOff>38100</xdr:rowOff>
    </xdr:from>
    <xdr:to>
      <xdr:col>10</xdr:col>
      <xdr:colOff>95250</xdr:colOff>
      <xdr:row>8</xdr:row>
      <xdr:rowOff>33338</xdr:rowOff>
    </xdr:to>
    <xdr:cxnSp macro="">
      <xdr:nvCxnSpPr>
        <xdr:cNvPr id="39" name="Elbow Connector 38"/>
        <xdr:cNvCxnSpPr>
          <a:endCxn id="22" idx="1"/>
        </xdr:cNvCxnSpPr>
      </xdr:nvCxnSpPr>
      <xdr:spPr>
        <a:xfrm>
          <a:off x="6381750" y="990600"/>
          <a:ext cx="95250" cy="56673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228600</xdr:colOff>
      <xdr:row>5</xdr:row>
      <xdr:rowOff>47625</xdr:rowOff>
    </xdr:from>
    <xdr:to>
      <xdr:col>16</xdr:col>
      <xdr:colOff>819150</xdr:colOff>
      <xdr:row>7</xdr:row>
      <xdr:rowOff>123825</xdr:rowOff>
    </xdr:to>
    <xdr:sp macro="" textlink="">
      <xdr:nvSpPr>
        <xdr:cNvPr id="40" name="Rounded Rectangle 39"/>
        <xdr:cNvSpPr/>
      </xdr:nvSpPr>
      <xdr:spPr>
        <a:xfrm>
          <a:off x="10439400" y="1000125"/>
          <a:ext cx="40957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HX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  <xdr:twoCellAnchor>
    <xdr:from>
      <xdr:col>17</xdr:col>
      <xdr:colOff>647700</xdr:colOff>
      <xdr:row>5</xdr:row>
      <xdr:rowOff>114300</xdr:rowOff>
    </xdr:from>
    <xdr:to>
      <xdr:col>17</xdr:col>
      <xdr:colOff>1357841</xdr:colOff>
      <xdr:row>9</xdr:row>
      <xdr:rowOff>124884</xdr:rowOff>
    </xdr:to>
    <xdr:sp macro="" textlink="">
      <xdr:nvSpPr>
        <xdr:cNvPr id="41" name="Can 40"/>
        <xdr:cNvSpPr/>
      </xdr:nvSpPr>
      <xdr:spPr>
        <a:xfrm>
          <a:off x="11487150" y="1066800"/>
          <a:ext cx="0" cy="772584"/>
        </a:xfrm>
        <a:prstGeom prst="ca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Claus</a:t>
          </a:r>
        </a:p>
        <a:p>
          <a:pPr algn="ctr"/>
          <a:r>
            <a:rPr lang="en-US" sz="1100"/>
            <a:t>Furnace</a:t>
          </a:r>
        </a:p>
      </xdr:txBody>
    </xdr:sp>
    <xdr:clientData/>
  </xdr:twoCellAnchor>
  <xdr:twoCellAnchor>
    <xdr:from>
      <xdr:col>16</xdr:col>
      <xdr:colOff>790575</xdr:colOff>
      <xdr:row>1</xdr:row>
      <xdr:rowOff>123825</xdr:rowOff>
    </xdr:from>
    <xdr:to>
      <xdr:col>17</xdr:col>
      <xdr:colOff>781051</xdr:colOff>
      <xdr:row>4</xdr:row>
      <xdr:rowOff>66675</xdr:rowOff>
    </xdr:to>
    <xdr:sp macro="" textlink="">
      <xdr:nvSpPr>
        <xdr:cNvPr id="42" name="Oval 41"/>
        <xdr:cNvSpPr/>
      </xdr:nvSpPr>
      <xdr:spPr>
        <a:xfrm>
          <a:off x="10848975" y="314325"/>
          <a:ext cx="63817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1781175</xdr:colOff>
      <xdr:row>2</xdr:row>
      <xdr:rowOff>47625</xdr:rowOff>
    </xdr:from>
    <xdr:to>
      <xdr:col>17</xdr:col>
      <xdr:colOff>2133600</xdr:colOff>
      <xdr:row>5</xdr:row>
      <xdr:rowOff>161925</xdr:rowOff>
    </xdr:to>
    <xdr:sp macro="" textlink="">
      <xdr:nvSpPr>
        <xdr:cNvPr id="43" name="Rectangle 42"/>
        <xdr:cNvSpPr/>
      </xdr:nvSpPr>
      <xdr:spPr>
        <a:xfrm>
          <a:off x="11487150" y="428625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2162175</xdr:colOff>
      <xdr:row>7</xdr:row>
      <xdr:rowOff>76200</xdr:rowOff>
    </xdr:from>
    <xdr:to>
      <xdr:col>18</xdr:col>
      <xdr:colOff>555498</xdr:colOff>
      <xdr:row>10</xdr:row>
      <xdr:rowOff>117348</xdr:rowOff>
    </xdr:to>
    <xdr:sp macro="" textlink="">
      <xdr:nvSpPr>
        <xdr:cNvPr id="44" name="Flowchart: Summing Junction 43"/>
        <xdr:cNvSpPr/>
      </xdr:nvSpPr>
      <xdr:spPr>
        <a:xfrm>
          <a:off x="11487150" y="1409700"/>
          <a:ext cx="555498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22</xdr:col>
      <xdr:colOff>698499</xdr:colOff>
      <xdr:row>2</xdr:row>
      <xdr:rowOff>49742</xdr:rowOff>
    </xdr:from>
    <xdr:to>
      <xdr:col>22</xdr:col>
      <xdr:colOff>1050924</xdr:colOff>
      <xdr:row>5</xdr:row>
      <xdr:rowOff>164042</xdr:rowOff>
    </xdr:to>
    <xdr:sp macro="" textlink="">
      <xdr:nvSpPr>
        <xdr:cNvPr id="45" name="Rectangle 44"/>
        <xdr:cNvSpPr/>
      </xdr:nvSpPr>
      <xdr:spPr>
        <a:xfrm>
          <a:off x="14681199" y="430742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447675</xdr:colOff>
      <xdr:row>2</xdr:row>
      <xdr:rowOff>47625</xdr:rowOff>
    </xdr:from>
    <xdr:to>
      <xdr:col>21</xdr:col>
      <xdr:colOff>63500</xdr:colOff>
      <xdr:row>5</xdr:row>
      <xdr:rowOff>161925</xdr:rowOff>
    </xdr:to>
    <xdr:sp macro="" textlink="">
      <xdr:nvSpPr>
        <xdr:cNvPr id="46" name="Rectangle 45"/>
        <xdr:cNvSpPr/>
      </xdr:nvSpPr>
      <xdr:spPr>
        <a:xfrm>
          <a:off x="13211175" y="428625"/>
          <a:ext cx="25400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21</xdr:col>
      <xdr:colOff>103717</xdr:colOff>
      <xdr:row>7</xdr:row>
      <xdr:rowOff>38100</xdr:rowOff>
    </xdr:from>
    <xdr:to>
      <xdr:col>21</xdr:col>
      <xdr:colOff>708957</xdr:colOff>
      <xdr:row>10</xdr:row>
      <xdr:rowOff>79248</xdr:rowOff>
    </xdr:to>
    <xdr:sp macro="" textlink="">
      <xdr:nvSpPr>
        <xdr:cNvPr id="47" name="Flowchart: Summing Junction 46"/>
        <xdr:cNvSpPr/>
      </xdr:nvSpPr>
      <xdr:spPr>
        <a:xfrm>
          <a:off x="13505392" y="1371600"/>
          <a:ext cx="538565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21</xdr:col>
      <xdr:colOff>812800</xdr:colOff>
      <xdr:row>1</xdr:row>
      <xdr:rowOff>151342</xdr:rowOff>
    </xdr:from>
    <xdr:to>
      <xdr:col>21</xdr:col>
      <xdr:colOff>1231900</xdr:colOff>
      <xdr:row>5</xdr:row>
      <xdr:rowOff>1990</xdr:rowOff>
    </xdr:to>
    <xdr:sp macro="" textlink="">
      <xdr:nvSpPr>
        <xdr:cNvPr id="48" name="Flowchart: Alternate Process 47"/>
        <xdr:cNvSpPr/>
      </xdr:nvSpPr>
      <xdr:spPr>
        <a:xfrm>
          <a:off x="14043025" y="341842"/>
          <a:ext cx="0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523876</xdr:colOff>
      <xdr:row>3</xdr:row>
      <xdr:rowOff>0</xdr:rowOff>
    </xdr:from>
    <xdr:to>
      <xdr:col>16</xdr:col>
      <xdr:colOff>790576</xdr:colOff>
      <xdr:row>5</xdr:row>
      <xdr:rowOff>47625</xdr:rowOff>
    </xdr:to>
    <xdr:cxnSp macro="">
      <xdr:nvCxnSpPr>
        <xdr:cNvPr id="49" name="Elbow Connector 48"/>
        <xdr:cNvCxnSpPr>
          <a:stCxn id="40" idx="0"/>
          <a:endCxn id="42" idx="2"/>
        </xdr:cNvCxnSpPr>
      </xdr:nvCxnSpPr>
      <xdr:spPr>
        <a:xfrm rot="5400000" flipH="1" flipV="1">
          <a:off x="10577513" y="728663"/>
          <a:ext cx="428625" cy="11430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523875</xdr:colOff>
      <xdr:row>7</xdr:row>
      <xdr:rowOff>123825</xdr:rowOff>
    </xdr:from>
    <xdr:to>
      <xdr:col>17</xdr:col>
      <xdr:colOff>1002771</xdr:colOff>
      <xdr:row>9</xdr:row>
      <xdr:rowOff>124884</xdr:rowOff>
    </xdr:to>
    <xdr:cxnSp macro="">
      <xdr:nvCxnSpPr>
        <xdr:cNvPr id="50" name="Elbow Connector 49"/>
        <xdr:cNvCxnSpPr>
          <a:stCxn id="41" idx="3"/>
          <a:endCxn id="40" idx="2"/>
        </xdr:cNvCxnSpPr>
      </xdr:nvCxnSpPr>
      <xdr:spPr>
        <a:xfrm rot="5400000" flipH="1">
          <a:off x="10921206" y="1270794"/>
          <a:ext cx="382059" cy="755121"/>
        </a:xfrm>
        <a:prstGeom prst="bentConnector3">
          <a:avLst>
            <a:gd name="adj1" fmla="val -5983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781051</xdr:colOff>
      <xdr:row>3</xdr:row>
      <xdr:rowOff>0</xdr:rowOff>
    </xdr:from>
    <xdr:to>
      <xdr:col>17</xdr:col>
      <xdr:colOff>1781175</xdr:colOff>
      <xdr:row>4</xdr:row>
      <xdr:rowOff>9525</xdr:rowOff>
    </xdr:to>
    <xdr:cxnSp macro="">
      <xdr:nvCxnSpPr>
        <xdr:cNvPr id="51" name="Elbow Connector 50"/>
        <xdr:cNvCxnSpPr>
          <a:stCxn id="42" idx="6"/>
          <a:endCxn id="43" idx="1"/>
        </xdr:cNvCxnSpPr>
      </xdr:nvCxnSpPr>
      <xdr:spPr>
        <a:xfrm>
          <a:off x="11487151" y="571500"/>
          <a:ext cx="0" cy="200025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1871663</xdr:colOff>
      <xdr:row>5</xdr:row>
      <xdr:rowOff>171449</xdr:rowOff>
    </xdr:from>
    <xdr:to>
      <xdr:col>18</xdr:col>
      <xdr:colOff>144399</xdr:colOff>
      <xdr:row>7</xdr:row>
      <xdr:rowOff>85724</xdr:rowOff>
    </xdr:to>
    <xdr:cxnSp macro="">
      <xdr:nvCxnSpPr>
        <xdr:cNvPr id="52" name="Elbow Connector 51"/>
        <xdr:cNvCxnSpPr/>
      </xdr:nvCxnSpPr>
      <xdr:spPr>
        <a:xfrm rot="16200000" flipH="1">
          <a:off x="11409331" y="1197006"/>
          <a:ext cx="295275" cy="14916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9525</xdr:colOff>
      <xdr:row>5</xdr:row>
      <xdr:rowOff>117348</xdr:rowOff>
    </xdr:from>
    <xdr:to>
      <xdr:col>19</xdr:col>
      <xdr:colOff>276225</xdr:colOff>
      <xdr:row>8</xdr:row>
      <xdr:rowOff>152400</xdr:rowOff>
    </xdr:to>
    <xdr:cxnSp macro="">
      <xdr:nvCxnSpPr>
        <xdr:cNvPr id="53" name="Elbow Connector 52"/>
        <xdr:cNvCxnSpPr/>
      </xdr:nvCxnSpPr>
      <xdr:spPr>
        <a:xfrm rot="16200000" flipH="1">
          <a:off x="11964924" y="1239774"/>
          <a:ext cx="606552" cy="26670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371474</xdr:colOff>
      <xdr:row>4</xdr:row>
      <xdr:rowOff>1525</xdr:rowOff>
    </xdr:from>
    <xdr:to>
      <xdr:col>18</xdr:col>
      <xdr:colOff>533399</xdr:colOff>
      <xdr:row>7</xdr:row>
      <xdr:rowOff>76201</xdr:rowOff>
    </xdr:to>
    <xdr:cxnSp macro="">
      <xdr:nvCxnSpPr>
        <xdr:cNvPr id="54" name="Elbow Connector 53"/>
        <xdr:cNvCxnSpPr/>
      </xdr:nvCxnSpPr>
      <xdr:spPr>
        <a:xfrm rot="5400000" flipH="1" flipV="1">
          <a:off x="11616499" y="1005650"/>
          <a:ext cx="646176" cy="16192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265114</xdr:colOff>
      <xdr:row>4</xdr:row>
      <xdr:rowOff>9525</xdr:rowOff>
    </xdr:from>
    <xdr:to>
      <xdr:col>20</xdr:col>
      <xdr:colOff>447676</xdr:colOff>
      <xdr:row>7</xdr:row>
      <xdr:rowOff>95250</xdr:rowOff>
    </xdr:to>
    <xdr:cxnSp macro="">
      <xdr:nvCxnSpPr>
        <xdr:cNvPr id="55" name="Elbow Connector 54"/>
        <xdr:cNvCxnSpPr>
          <a:stCxn id="101" idx="0"/>
          <a:endCxn id="46" idx="1"/>
        </xdr:cNvCxnSpPr>
      </xdr:nvCxnSpPr>
      <xdr:spPr>
        <a:xfrm rot="5400000" flipH="1" flipV="1">
          <a:off x="12791282" y="1008857"/>
          <a:ext cx="657225" cy="18256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63500</xdr:colOff>
      <xdr:row>4</xdr:row>
      <xdr:rowOff>9525</xdr:rowOff>
    </xdr:from>
    <xdr:to>
      <xdr:col>21</xdr:col>
      <xdr:colOff>406337</xdr:colOff>
      <xdr:row>7</xdr:row>
      <xdr:rowOff>38100</xdr:rowOff>
    </xdr:to>
    <xdr:cxnSp macro="">
      <xdr:nvCxnSpPr>
        <xdr:cNvPr id="56" name="Elbow Connector 55"/>
        <xdr:cNvCxnSpPr>
          <a:stCxn id="46" idx="3"/>
          <a:endCxn id="47" idx="0"/>
        </xdr:cNvCxnSpPr>
      </xdr:nvCxnSpPr>
      <xdr:spPr>
        <a:xfrm>
          <a:off x="13465175" y="771525"/>
          <a:ext cx="342837" cy="60007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620322</xdr:colOff>
      <xdr:row>3</xdr:row>
      <xdr:rowOff>76666</xdr:rowOff>
    </xdr:from>
    <xdr:to>
      <xdr:col>21</xdr:col>
      <xdr:colOff>812800</xdr:colOff>
      <xdr:row>7</xdr:row>
      <xdr:rowOff>127820</xdr:rowOff>
    </xdr:to>
    <xdr:cxnSp macro="">
      <xdr:nvCxnSpPr>
        <xdr:cNvPr id="57" name="Elbow Connector 56"/>
        <xdr:cNvCxnSpPr>
          <a:stCxn id="47" idx="7"/>
          <a:endCxn id="48" idx="1"/>
        </xdr:cNvCxnSpPr>
      </xdr:nvCxnSpPr>
      <xdr:spPr>
        <a:xfrm rot="5400000" flipH="1" flipV="1">
          <a:off x="13625934" y="1044229"/>
          <a:ext cx="813154" cy="21028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874713</xdr:colOff>
      <xdr:row>5</xdr:row>
      <xdr:rowOff>164041</xdr:rowOff>
    </xdr:from>
    <xdr:to>
      <xdr:col>23</xdr:col>
      <xdr:colOff>883708</xdr:colOff>
      <xdr:row>6</xdr:row>
      <xdr:rowOff>108416</xdr:rowOff>
    </xdr:to>
    <xdr:cxnSp macro="">
      <xdr:nvCxnSpPr>
        <xdr:cNvPr id="58" name="Elbow Connector 57"/>
        <xdr:cNvCxnSpPr>
          <a:stCxn id="45" idx="2"/>
        </xdr:cNvCxnSpPr>
      </xdr:nvCxnSpPr>
      <xdr:spPr>
        <a:xfrm rot="16200000" flipH="1">
          <a:off x="14927823" y="865156"/>
          <a:ext cx="134875" cy="63764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1022351</xdr:colOff>
      <xdr:row>5</xdr:row>
      <xdr:rowOff>1989</xdr:rowOff>
    </xdr:from>
    <xdr:to>
      <xdr:col>22</xdr:col>
      <xdr:colOff>433389</xdr:colOff>
      <xdr:row>7</xdr:row>
      <xdr:rowOff>179916</xdr:rowOff>
    </xdr:to>
    <xdr:cxnSp macro="">
      <xdr:nvCxnSpPr>
        <xdr:cNvPr id="59" name="Elbow Connector 58"/>
        <xdr:cNvCxnSpPr>
          <a:stCxn id="48" idx="2"/>
        </xdr:cNvCxnSpPr>
      </xdr:nvCxnSpPr>
      <xdr:spPr>
        <a:xfrm rot="16200000" flipH="1">
          <a:off x="13978669" y="1018846"/>
          <a:ext cx="558927" cy="43021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479424</xdr:colOff>
      <xdr:row>4</xdr:row>
      <xdr:rowOff>11643</xdr:rowOff>
    </xdr:from>
    <xdr:to>
      <xdr:col>22</xdr:col>
      <xdr:colOff>698499</xdr:colOff>
      <xdr:row>8</xdr:row>
      <xdr:rowOff>2118</xdr:rowOff>
    </xdr:to>
    <xdr:cxnSp macro="">
      <xdr:nvCxnSpPr>
        <xdr:cNvPr id="60" name="Elbow Connector 59"/>
        <xdr:cNvCxnSpPr>
          <a:endCxn id="45" idx="1"/>
        </xdr:cNvCxnSpPr>
      </xdr:nvCxnSpPr>
      <xdr:spPr>
        <a:xfrm rot="5400000" flipH="1" flipV="1">
          <a:off x="14223999" y="1068918"/>
          <a:ext cx="752475" cy="16192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485775</xdr:colOff>
      <xdr:row>3</xdr:row>
      <xdr:rowOff>104775</xdr:rowOff>
    </xdr:from>
    <xdr:to>
      <xdr:col>10</xdr:col>
      <xdr:colOff>863760</xdr:colOff>
      <xdr:row>5</xdr:row>
      <xdr:rowOff>22505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67525" y="676275"/>
          <a:ext cx="149385" cy="298730"/>
        </a:xfrm>
        <a:prstGeom prst="rect">
          <a:avLst/>
        </a:prstGeom>
      </xdr:spPr>
    </xdr:pic>
    <xdr:clientData/>
  </xdr:twoCellAnchor>
  <xdr:twoCellAnchor editAs="oneCell">
    <xdr:from>
      <xdr:col>10</xdr:col>
      <xdr:colOff>57150</xdr:colOff>
      <xdr:row>7</xdr:row>
      <xdr:rowOff>123825</xdr:rowOff>
    </xdr:from>
    <xdr:to>
      <xdr:col>10</xdr:col>
      <xdr:colOff>435135</xdr:colOff>
      <xdr:row>9</xdr:row>
      <xdr:rowOff>41555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38900" y="1457325"/>
          <a:ext cx="377985" cy="298730"/>
        </a:xfrm>
        <a:prstGeom prst="rect">
          <a:avLst/>
        </a:prstGeom>
      </xdr:spPr>
    </xdr:pic>
    <xdr:clientData/>
  </xdr:twoCellAnchor>
  <xdr:twoCellAnchor editAs="oneCell">
    <xdr:from>
      <xdr:col>13</xdr:col>
      <xdr:colOff>171450</xdr:colOff>
      <xdr:row>7</xdr:row>
      <xdr:rowOff>85725</xdr:rowOff>
    </xdr:from>
    <xdr:to>
      <xdr:col>13</xdr:col>
      <xdr:colOff>634786</xdr:colOff>
      <xdr:row>9</xdr:row>
      <xdr:rowOff>3455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67725" y="1419225"/>
          <a:ext cx="463336" cy="298730"/>
        </a:xfrm>
        <a:prstGeom prst="rect">
          <a:avLst/>
        </a:prstGeom>
      </xdr:spPr>
    </xdr:pic>
    <xdr:clientData/>
  </xdr:twoCellAnchor>
  <xdr:twoCellAnchor>
    <xdr:from>
      <xdr:col>9</xdr:col>
      <xdr:colOff>742950</xdr:colOff>
      <xdr:row>3</xdr:row>
      <xdr:rowOff>57150</xdr:rowOff>
    </xdr:from>
    <xdr:to>
      <xdr:col>9</xdr:col>
      <xdr:colOff>1095375</xdr:colOff>
      <xdr:row>6</xdr:row>
      <xdr:rowOff>171450</xdr:rowOff>
    </xdr:to>
    <xdr:sp macro="" textlink="">
      <xdr:nvSpPr>
        <xdr:cNvPr id="64" name="Rectangle 63"/>
        <xdr:cNvSpPr/>
      </xdr:nvSpPr>
      <xdr:spPr>
        <a:xfrm>
          <a:off x="6381750" y="628650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666750</xdr:colOff>
      <xdr:row>4</xdr:row>
      <xdr:rowOff>66675</xdr:rowOff>
    </xdr:from>
    <xdr:to>
      <xdr:col>9</xdr:col>
      <xdr:colOff>1130086</xdr:colOff>
      <xdr:row>5</xdr:row>
      <xdr:rowOff>174905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50" y="828675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17</xdr:col>
      <xdr:colOff>1733550</xdr:colOff>
      <xdr:row>3</xdr:row>
      <xdr:rowOff>66675</xdr:rowOff>
    </xdr:from>
    <xdr:to>
      <xdr:col>17</xdr:col>
      <xdr:colOff>2196886</xdr:colOff>
      <xdr:row>4</xdr:row>
      <xdr:rowOff>174905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87150" y="638175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20</xdr:col>
      <xdr:colOff>349251</xdr:colOff>
      <xdr:row>2</xdr:row>
      <xdr:rowOff>164041</xdr:rowOff>
    </xdr:from>
    <xdr:to>
      <xdr:col>21</xdr:col>
      <xdr:colOff>133136</xdr:colOff>
      <xdr:row>4</xdr:row>
      <xdr:rowOff>81771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112751" y="545041"/>
          <a:ext cx="422060" cy="298730"/>
        </a:xfrm>
        <a:prstGeom prst="rect">
          <a:avLst/>
        </a:prstGeom>
      </xdr:spPr>
    </xdr:pic>
    <xdr:clientData/>
  </xdr:twoCellAnchor>
  <xdr:twoCellAnchor editAs="oneCell">
    <xdr:from>
      <xdr:col>23</xdr:col>
      <xdr:colOff>333375</xdr:colOff>
      <xdr:row>3</xdr:row>
      <xdr:rowOff>57150</xdr:rowOff>
    </xdr:from>
    <xdr:to>
      <xdr:col>23</xdr:col>
      <xdr:colOff>796711</xdr:colOff>
      <xdr:row>4</xdr:row>
      <xdr:rowOff>165380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011400" y="628650"/>
          <a:ext cx="301411" cy="298730"/>
        </a:xfrm>
        <a:prstGeom prst="rect">
          <a:avLst/>
        </a:prstGeom>
      </xdr:spPr>
    </xdr:pic>
    <xdr:clientData/>
  </xdr:twoCellAnchor>
  <xdr:twoCellAnchor editAs="oneCell">
    <xdr:from>
      <xdr:col>16</xdr:col>
      <xdr:colOff>778933</xdr:colOff>
      <xdr:row>2</xdr:row>
      <xdr:rowOff>60325</xdr:rowOff>
    </xdr:from>
    <xdr:to>
      <xdr:col>17</xdr:col>
      <xdr:colOff>412751</xdr:colOff>
      <xdr:row>3</xdr:row>
      <xdr:rowOff>168555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46858" y="441325"/>
          <a:ext cx="414868" cy="298730"/>
        </a:xfrm>
        <a:prstGeom prst="rect">
          <a:avLst/>
        </a:prstGeom>
      </xdr:spPr>
    </xdr:pic>
    <xdr:clientData/>
  </xdr:twoCellAnchor>
  <xdr:twoCellAnchor editAs="oneCell">
    <xdr:from>
      <xdr:col>17</xdr:col>
      <xdr:colOff>2079625</xdr:colOff>
      <xdr:row>8</xdr:row>
      <xdr:rowOff>3175</xdr:rowOff>
    </xdr:from>
    <xdr:to>
      <xdr:col>18</xdr:col>
      <xdr:colOff>608759</xdr:colOff>
      <xdr:row>9</xdr:row>
      <xdr:rowOff>111405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490325" y="1527175"/>
          <a:ext cx="605584" cy="298730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7</xdr:row>
      <xdr:rowOff>66675</xdr:rowOff>
    </xdr:from>
    <xdr:to>
      <xdr:col>12</xdr:col>
      <xdr:colOff>443513</xdr:colOff>
      <xdr:row>8</xdr:row>
      <xdr:rowOff>174905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72400" y="1400175"/>
          <a:ext cx="329213" cy="298730"/>
        </a:xfrm>
        <a:prstGeom prst="rect">
          <a:avLst/>
        </a:prstGeom>
      </xdr:spPr>
    </xdr:pic>
    <xdr:clientData/>
  </xdr:twoCellAnchor>
  <xdr:twoCellAnchor editAs="oneCell">
    <xdr:from>
      <xdr:col>14</xdr:col>
      <xdr:colOff>4234</xdr:colOff>
      <xdr:row>2</xdr:row>
      <xdr:rowOff>152401</xdr:rowOff>
    </xdr:from>
    <xdr:to>
      <xdr:col>14</xdr:col>
      <xdr:colOff>563670</xdr:colOff>
      <xdr:row>4</xdr:row>
      <xdr:rowOff>70131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938684" y="533401"/>
          <a:ext cx="559436" cy="298730"/>
        </a:xfrm>
        <a:prstGeom prst="rect">
          <a:avLst/>
        </a:prstGeom>
      </xdr:spPr>
    </xdr:pic>
    <xdr:clientData/>
  </xdr:twoCellAnchor>
  <xdr:twoCellAnchor editAs="oneCell">
    <xdr:from>
      <xdr:col>13</xdr:col>
      <xdr:colOff>1152526</xdr:colOff>
      <xdr:row>7</xdr:row>
      <xdr:rowOff>76201</xdr:rowOff>
    </xdr:from>
    <xdr:to>
      <xdr:col>14</xdr:col>
      <xdr:colOff>563670</xdr:colOff>
      <xdr:row>8</xdr:row>
      <xdr:rowOff>184431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934451" y="1409701"/>
          <a:ext cx="563669" cy="298730"/>
        </a:xfrm>
        <a:prstGeom prst="rect">
          <a:avLst/>
        </a:prstGeom>
      </xdr:spPr>
    </xdr:pic>
    <xdr:clientData/>
  </xdr:twoCellAnchor>
  <xdr:twoCellAnchor editAs="oneCell">
    <xdr:from>
      <xdr:col>1</xdr:col>
      <xdr:colOff>1958974</xdr:colOff>
      <xdr:row>7</xdr:row>
      <xdr:rowOff>131233</xdr:rowOff>
    </xdr:from>
    <xdr:to>
      <xdr:col>2</xdr:col>
      <xdr:colOff>240312</xdr:colOff>
      <xdr:row>9</xdr:row>
      <xdr:rowOff>48963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73174" y="1464733"/>
          <a:ext cx="243488" cy="298730"/>
        </a:xfrm>
        <a:prstGeom prst="rect">
          <a:avLst/>
        </a:prstGeom>
      </xdr:spPr>
    </xdr:pic>
    <xdr:clientData/>
  </xdr:twoCellAnchor>
  <xdr:twoCellAnchor>
    <xdr:from>
      <xdr:col>6</xdr:col>
      <xdr:colOff>144991</xdr:colOff>
      <xdr:row>4</xdr:row>
      <xdr:rowOff>37041</xdr:rowOff>
    </xdr:from>
    <xdr:to>
      <xdr:col>7</xdr:col>
      <xdr:colOff>952500</xdr:colOff>
      <xdr:row>6</xdr:row>
      <xdr:rowOff>140673</xdr:rowOff>
    </xdr:to>
    <xdr:sp macro="" textlink="">
      <xdr:nvSpPr>
        <xdr:cNvPr id="75" name="Right Arrow 74"/>
        <xdr:cNvSpPr/>
      </xdr:nvSpPr>
      <xdr:spPr>
        <a:xfrm>
          <a:off x="3974041" y="799041"/>
          <a:ext cx="1131359" cy="484632"/>
        </a:xfrm>
        <a:prstGeom prst="righ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To Sulfur</a:t>
          </a:r>
          <a:r>
            <a:rPr lang="en-US" sz="1100" baseline="0"/>
            <a:t> Removal </a:t>
          </a:r>
          <a:endParaRPr lang="en-US" sz="1100"/>
        </a:p>
      </xdr:txBody>
    </xdr:sp>
    <xdr:clientData/>
  </xdr:twoCellAnchor>
  <xdr:twoCellAnchor>
    <xdr:from>
      <xdr:col>14</xdr:col>
      <xdr:colOff>282576</xdr:colOff>
      <xdr:row>1</xdr:row>
      <xdr:rowOff>47625</xdr:rowOff>
    </xdr:from>
    <xdr:to>
      <xdr:col>15</xdr:col>
      <xdr:colOff>847723</xdr:colOff>
      <xdr:row>5</xdr:row>
      <xdr:rowOff>19050</xdr:rowOff>
    </xdr:to>
    <xdr:cxnSp macro="">
      <xdr:nvCxnSpPr>
        <xdr:cNvPr id="76" name="Elbow Connector 75"/>
        <xdr:cNvCxnSpPr>
          <a:stCxn id="23" idx="0"/>
        </xdr:cNvCxnSpPr>
      </xdr:nvCxnSpPr>
      <xdr:spPr>
        <a:xfrm rot="16200000" flipH="1">
          <a:off x="9347199" y="107952"/>
          <a:ext cx="733425" cy="993772"/>
        </a:xfrm>
        <a:prstGeom prst="bentConnector4">
          <a:avLst>
            <a:gd name="adj1" fmla="val -31169"/>
            <a:gd name="adj2" fmla="val 6083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819150</xdr:colOff>
      <xdr:row>6</xdr:row>
      <xdr:rowOff>85725</xdr:rowOff>
    </xdr:from>
    <xdr:to>
      <xdr:col>17</xdr:col>
      <xdr:colOff>647700</xdr:colOff>
      <xdr:row>7</xdr:row>
      <xdr:rowOff>119592</xdr:rowOff>
    </xdr:to>
    <xdr:cxnSp macro="">
      <xdr:nvCxnSpPr>
        <xdr:cNvPr id="77" name="Elbow Connector 76"/>
        <xdr:cNvCxnSpPr>
          <a:stCxn id="40" idx="3"/>
          <a:endCxn id="41" idx="2"/>
        </xdr:cNvCxnSpPr>
      </xdr:nvCxnSpPr>
      <xdr:spPr>
        <a:xfrm>
          <a:off x="10848975" y="1228725"/>
          <a:ext cx="638175" cy="22436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282576</xdr:colOff>
      <xdr:row>4</xdr:row>
      <xdr:rowOff>66683</xdr:rowOff>
    </xdr:from>
    <xdr:to>
      <xdr:col>15</xdr:col>
      <xdr:colOff>857252</xdr:colOff>
      <xdr:row>5</xdr:row>
      <xdr:rowOff>142876</xdr:rowOff>
    </xdr:to>
    <xdr:cxnSp macro="">
      <xdr:nvCxnSpPr>
        <xdr:cNvPr id="78" name="Elbow Connector 77"/>
        <xdr:cNvCxnSpPr>
          <a:stCxn id="24" idx="0"/>
        </xdr:cNvCxnSpPr>
      </xdr:nvCxnSpPr>
      <xdr:spPr>
        <a:xfrm rot="5400000" flipH="1" flipV="1">
          <a:off x="9580567" y="465142"/>
          <a:ext cx="266693" cy="99377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652992</xdr:colOff>
      <xdr:row>5</xdr:row>
      <xdr:rowOff>1059</xdr:rowOff>
    </xdr:from>
    <xdr:ext cx="1213666" cy="264560"/>
    <xdr:sp macro="" textlink="">
      <xdr:nvSpPr>
        <xdr:cNvPr id="79" name="TextBox 78"/>
        <xdr:cNvSpPr txBox="1"/>
      </xdr:nvSpPr>
      <xdr:spPr>
        <a:xfrm>
          <a:off x="9568392" y="953559"/>
          <a:ext cx="12136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H2S Claus Process</a:t>
          </a:r>
        </a:p>
      </xdr:txBody>
    </xdr:sp>
    <xdr:clientData/>
  </xdr:oneCellAnchor>
  <xdr:twoCellAnchor editAs="oneCell">
    <xdr:from>
      <xdr:col>18</xdr:col>
      <xdr:colOff>470959</xdr:colOff>
      <xdr:row>2</xdr:row>
      <xdr:rowOff>24342</xdr:rowOff>
    </xdr:from>
    <xdr:to>
      <xdr:col>19</xdr:col>
      <xdr:colOff>253787</xdr:colOff>
      <xdr:row>4</xdr:row>
      <xdr:rowOff>112775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958109" y="405342"/>
          <a:ext cx="421003" cy="469433"/>
        </a:xfrm>
        <a:prstGeom prst="rect">
          <a:avLst/>
        </a:prstGeom>
      </xdr:spPr>
    </xdr:pic>
    <xdr:clientData/>
  </xdr:twoCellAnchor>
  <xdr:twoCellAnchor editAs="oneCell">
    <xdr:from>
      <xdr:col>21</xdr:col>
      <xdr:colOff>823383</xdr:colOff>
      <xdr:row>1</xdr:row>
      <xdr:rowOff>189442</xdr:rowOff>
    </xdr:from>
    <xdr:to>
      <xdr:col>21</xdr:col>
      <xdr:colOff>1286719</xdr:colOff>
      <xdr:row>4</xdr:row>
      <xdr:rowOff>87375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4044083" y="379942"/>
          <a:ext cx="0" cy="469433"/>
        </a:xfrm>
        <a:prstGeom prst="rect">
          <a:avLst/>
        </a:prstGeom>
      </xdr:spPr>
    </xdr:pic>
    <xdr:clientData/>
  </xdr:twoCellAnchor>
  <xdr:twoCellAnchor>
    <xdr:from>
      <xdr:col>14</xdr:col>
      <xdr:colOff>282576</xdr:colOff>
      <xdr:row>10</xdr:row>
      <xdr:rowOff>0</xdr:rowOff>
    </xdr:from>
    <xdr:to>
      <xdr:col>15</xdr:col>
      <xdr:colOff>1200149</xdr:colOff>
      <xdr:row>10</xdr:row>
      <xdr:rowOff>114300</xdr:rowOff>
    </xdr:to>
    <xdr:cxnSp macro="">
      <xdr:nvCxnSpPr>
        <xdr:cNvPr id="82" name="Elbow Connector 81"/>
        <xdr:cNvCxnSpPr>
          <a:stCxn id="24" idx="2"/>
        </xdr:cNvCxnSpPr>
      </xdr:nvCxnSpPr>
      <xdr:spPr>
        <a:xfrm rot="16200000" flipH="1">
          <a:off x="9656763" y="1465263"/>
          <a:ext cx="114300" cy="99377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581025</xdr:colOff>
      <xdr:row>8</xdr:row>
      <xdr:rowOff>123825</xdr:rowOff>
    </xdr:from>
    <xdr:to>
      <xdr:col>14</xdr:col>
      <xdr:colOff>4233</xdr:colOff>
      <xdr:row>8</xdr:row>
      <xdr:rowOff>133350</xdr:rowOff>
    </xdr:to>
    <xdr:cxnSp macro="">
      <xdr:nvCxnSpPr>
        <xdr:cNvPr id="83" name="Straight Arrow Connector 82"/>
        <xdr:cNvCxnSpPr>
          <a:stCxn id="27" idx="3"/>
        </xdr:cNvCxnSpPr>
      </xdr:nvCxnSpPr>
      <xdr:spPr>
        <a:xfrm flipV="1">
          <a:off x="8877300" y="1647825"/>
          <a:ext cx="61383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105833</xdr:colOff>
      <xdr:row>8</xdr:row>
      <xdr:rowOff>44450</xdr:rowOff>
    </xdr:from>
    <xdr:ext cx="1100666" cy="436786"/>
    <xdr:sp macro="" textlink="">
      <xdr:nvSpPr>
        <xdr:cNvPr id="84" name="TextBox 83"/>
        <xdr:cNvSpPr txBox="1"/>
      </xdr:nvSpPr>
      <xdr:spPr>
        <a:xfrm>
          <a:off x="9678458" y="1568450"/>
          <a:ext cx="110066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Selexol going</a:t>
          </a:r>
          <a:r>
            <a:rPr lang="en-US" sz="1100" baseline="0"/>
            <a:t> to </a:t>
          </a:r>
        </a:p>
        <a:p>
          <a:r>
            <a:rPr lang="en-US" sz="1100" baseline="0"/>
            <a:t>CO2 capt</a:t>
          </a:r>
          <a:endParaRPr lang="en-US" sz="1100"/>
        </a:p>
      </xdr:txBody>
    </xdr:sp>
    <xdr:clientData/>
  </xdr:oneCellAnchor>
  <xdr:twoCellAnchor>
    <xdr:from>
      <xdr:col>5</xdr:col>
      <xdr:colOff>72497</xdr:colOff>
      <xdr:row>7</xdr:row>
      <xdr:rowOff>85070</xdr:rowOff>
    </xdr:from>
    <xdr:to>
      <xdr:col>5</xdr:col>
      <xdr:colOff>72497</xdr:colOff>
      <xdr:row>10</xdr:row>
      <xdr:rowOff>29103</xdr:rowOff>
    </xdr:to>
    <xdr:cxnSp macro="">
      <xdr:nvCxnSpPr>
        <xdr:cNvPr id="85" name="Straight Arrow Connector 84"/>
        <xdr:cNvCxnSpPr/>
      </xdr:nvCxnSpPr>
      <xdr:spPr>
        <a:xfrm rot="5400000">
          <a:off x="3005605" y="1676337"/>
          <a:ext cx="51553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180975</xdr:colOff>
      <xdr:row>4</xdr:row>
      <xdr:rowOff>2117</xdr:rowOff>
    </xdr:from>
    <xdr:ext cx="602192" cy="436786"/>
    <xdr:sp macro="" textlink="">
      <xdr:nvSpPr>
        <xdr:cNvPr id="86" name="TextBox 85"/>
        <xdr:cNvSpPr txBox="1"/>
      </xdr:nvSpPr>
      <xdr:spPr>
        <a:xfrm>
          <a:off x="14859000" y="764117"/>
          <a:ext cx="602192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Super</a:t>
          </a:r>
          <a:r>
            <a:rPr lang="en-US" sz="1100" baseline="0"/>
            <a:t> Claus</a:t>
          </a:r>
          <a:endParaRPr lang="en-US" sz="1100"/>
        </a:p>
      </xdr:txBody>
    </xdr:sp>
    <xdr:clientData/>
  </xdr:oneCellAnchor>
  <xdr:oneCellAnchor>
    <xdr:from>
      <xdr:col>9</xdr:col>
      <xdr:colOff>781050</xdr:colOff>
      <xdr:row>5</xdr:row>
      <xdr:rowOff>66675</xdr:rowOff>
    </xdr:from>
    <xdr:ext cx="256160" cy="264560"/>
    <xdr:sp macro="" textlink="">
      <xdr:nvSpPr>
        <xdr:cNvPr id="87" name="TextBox 86"/>
        <xdr:cNvSpPr txBox="1"/>
      </xdr:nvSpPr>
      <xdr:spPr>
        <a:xfrm>
          <a:off x="6381750" y="101917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1</a:t>
          </a:r>
        </a:p>
      </xdr:txBody>
    </xdr:sp>
    <xdr:clientData/>
  </xdr:oneCellAnchor>
  <xdr:twoCellAnchor editAs="oneCell">
    <xdr:from>
      <xdr:col>13</xdr:col>
      <xdr:colOff>276225</xdr:colOff>
      <xdr:row>8</xdr:row>
      <xdr:rowOff>57150</xdr:rowOff>
    </xdr:from>
    <xdr:to>
      <xdr:col>13</xdr:col>
      <xdr:colOff>520086</xdr:colOff>
      <xdr:row>9</xdr:row>
      <xdr:rowOff>165380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572500" y="1581150"/>
          <a:ext cx="243861" cy="298730"/>
        </a:xfrm>
        <a:prstGeom prst="rect">
          <a:avLst/>
        </a:prstGeom>
      </xdr:spPr>
    </xdr:pic>
    <xdr:clientData/>
  </xdr:twoCellAnchor>
  <xdr:oneCellAnchor>
    <xdr:from>
      <xdr:col>17</xdr:col>
      <xdr:colOff>1828800</xdr:colOff>
      <xdr:row>4</xdr:row>
      <xdr:rowOff>57150</xdr:rowOff>
    </xdr:from>
    <xdr:ext cx="256160" cy="264560"/>
    <xdr:sp macro="" textlink="">
      <xdr:nvSpPr>
        <xdr:cNvPr id="89" name="TextBox 88"/>
        <xdr:cNvSpPr txBox="1"/>
      </xdr:nvSpPr>
      <xdr:spPr>
        <a:xfrm>
          <a:off x="11487150" y="8191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</a:t>
          </a:r>
        </a:p>
      </xdr:txBody>
    </xdr:sp>
    <xdr:clientData/>
  </xdr:oneCellAnchor>
  <xdr:oneCellAnchor>
    <xdr:from>
      <xdr:col>20</xdr:col>
      <xdr:colOff>514350</xdr:colOff>
      <xdr:row>3</xdr:row>
      <xdr:rowOff>161925</xdr:rowOff>
    </xdr:from>
    <xdr:ext cx="256160" cy="264560"/>
    <xdr:sp macro="" textlink="">
      <xdr:nvSpPr>
        <xdr:cNvPr id="90" name="TextBox 89"/>
        <xdr:cNvSpPr txBox="1"/>
      </xdr:nvSpPr>
      <xdr:spPr>
        <a:xfrm>
          <a:off x="13277850" y="7334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4</a:t>
          </a:r>
        </a:p>
      </xdr:txBody>
    </xdr:sp>
    <xdr:clientData/>
  </xdr:oneCellAnchor>
  <xdr:oneCellAnchor>
    <xdr:from>
      <xdr:col>22</xdr:col>
      <xdr:colOff>748241</xdr:colOff>
      <xdr:row>3</xdr:row>
      <xdr:rowOff>151342</xdr:rowOff>
    </xdr:from>
    <xdr:ext cx="256160" cy="264560"/>
    <xdr:sp macro="" textlink="">
      <xdr:nvSpPr>
        <xdr:cNvPr id="91" name="TextBox 90"/>
        <xdr:cNvSpPr txBox="1"/>
      </xdr:nvSpPr>
      <xdr:spPr>
        <a:xfrm>
          <a:off x="14673791" y="722842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5</a:t>
          </a:r>
        </a:p>
      </xdr:txBody>
    </xdr:sp>
    <xdr:clientData/>
  </xdr:oneCellAnchor>
  <xdr:oneCellAnchor>
    <xdr:from>
      <xdr:col>18</xdr:col>
      <xdr:colOff>590550</xdr:colOff>
      <xdr:row>4</xdr:row>
      <xdr:rowOff>47625</xdr:rowOff>
    </xdr:from>
    <xdr:ext cx="256160" cy="264560"/>
    <xdr:sp macro="" textlink="">
      <xdr:nvSpPr>
        <xdr:cNvPr id="92" name="TextBox 91"/>
        <xdr:cNvSpPr txBox="1"/>
      </xdr:nvSpPr>
      <xdr:spPr>
        <a:xfrm>
          <a:off x="12077700" y="8096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1</a:t>
          </a:r>
        </a:p>
      </xdr:txBody>
    </xdr:sp>
    <xdr:clientData/>
  </xdr:oneCellAnchor>
  <xdr:oneCellAnchor>
    <xdr:from>
      <xdr:col>21</xdr:col>
      <xdr:colOff>915458</xdr:colOff>
      <xdr:row>3</xdr:row>
      <xdr:rowOff>137583</xdr:rowOff>
    </xdr:from>
    <xdr:ext cx="256160" cy="264560"/>
    <xdr:sp macro="" textlink="">
      <xdr:nvSpPr>
        <xdr:cNvPr id="93" name="TextBox 92"/>
        <xdr:cNvSpPr txBox="1"/>
      </xdr:nvSpPr>
      <xdr:spPr>
        <a:xfrm>
          <a:off x="14040908" y="709083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2</a:t>
          </a:r>
        </a:p>
      </xdr:txBody>
    </xdr:sp>
    <xdr:clientData/>
  </xdr:oneCellAnchor>
  <xdr:twoCellAnchor>
    <xdr:from>
      <xdr:col>24</xdr:col>
      <xdr:colOff>495300</xdr:colOff>
      <xdr:row>4</xdr:row>
      <xdr:rowOff>161925</xdr:rowOff>
    </xdr:from>
    <xdr:to>
      <xdr:col>25</xdr:col>
      <xdr:colOff>107823</xdr:colOff>
      <xdr:row>8</xdr:row>
      <xdr:rowOff>12573</xdr:rowOff>
    </xdr:to>
    <xdr:sp macro="" textlink="">
      <xdr:nvSpPr>
        <xdr:cNvPr id="94" name="Flowchart: Summing Junction 93"/>
        <xdr:cNvSpPr/>
      </xdr:nvSpPr>
      <xdr:spPr>
        <a:xfrm>
          <a:off x="15811500" y="923925"/>
          <a:ext cx="250698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914400</xdr:colOff>
      <xdr:row>4</xdr:row>
      <xdr:rowOff>152400</xdr:rowOff>
    </xdr:from>
    <xdr:to>
      <xdr:col>25</xdr:col>
      <xdr:colOff>1333500</xdr:colOff>
      <xdr:row>8</xdr:row>
      <xdr:rowOff>3048</xdr:rowOff>
    </xdr:to>
    <xdr:sp macro="" textlink="">
      <xdr:nvSpPr>
        <xdr:cNvPr id="95" name="Flowchart: Alternate Process 94"/>
        <xdr:cNvSpPr/>
      </xdr:nvSpPr>
      <xdr:spPr>
        <a:xfrm>
          <a:off x="16592550" y="914400"/>
          <a:ext cx="0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1962150</xdr:colOff>
      <xdr:row>4</xdr:row>
      <xdr:rowOff>180975</xdr:rowOff>
    </xdr:from>
    <xdr:to>
      <xdr:col>26</xdr:col>
      <xdr:colOff>819151</xdr:colOff>
      <xdr:row>7</xdr:row>
      <xdr:rowOff>123825</xdr:rowOff>
    </xdr:to>
    <xdr:sp macro="" textlink="">
      <xdr:nvSpPr>
        <xdr:cNvPr id="96" name="Oval 95"/>
        <xdr:cNvSpPr/>
      </xdr:nvSpPr>
      <xdr:spPr>
        <a:xfrm>
          <a:off x="16592550" y="942975"/>
          <a:ext cx="63817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27</xdr:col>
      <xdr:colOff>204537</xdr:colOff>
      <xdr:row>4</xdr:row>
      <xdr:rowOff>95250</xdr:rowOff>
    </xdr:from>
    <xdr:to>
      <xdr:col>28</xdr:col>
      <xdr:colOff>110290</xdr:colOff>
      <xdr:row>8</xdr:row>
      <xdr:rowOff>19050</xdr:rowOff>
    </xdr:to>
    <xdr:sp macro="" textlink="">
      <xdr:nvSpPr>
        <xdr:cNvPr id="97" name="Rectangle 96"/>
        <xdr:cNvSpPr/>
      </xdr:nvSpPr>
      <xdr:spPr>
        <a:xfrm>
          <a:off x="17435262" y="857250"/>
          <a:ext cx="543928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107823</xdr:colOff>
      <xdr:row>6</xdr:row>
      <xdr:rowOff>77724</xdr:rowOff>
    </xdr:from>
    <xdr:to>
      <xdr:col>25</xdr:col>
      <xdr:colOff>914400</xdr:colOff>
      <xdr:row>6</xdr:row>
      <xdr:rowOff>87249</xdr:rowOff>
    </xdr:to>
    <xdr:cxnSp macro="">
      <xdr:nvCxnSpPr>
        <xdr:cNvPr id="98" name="Straight Arrow Connector 97"/>
        <xdr:cNvCxnSpPr>
          <a:stCxn id="94" idx="6"/>
          <a:endCxn id="95" idx="1"/>
        </xdr:cNvCxnSpPr>
      </xdr:nvCxnSpPr>
      <xdr:spPr>
        <a:xfrm flipV="1">
          <a:off x="16062198" y="1220724"/>
          <a:ext cx="530352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1333500</xdr:colOff>
      <xdr:row>6</xdr:row>
      <xdr:rowOff>57150</xdr:rowOff>
    </xdr:from>
    <xdr:to>
      <xdr:col>25</xdr:col>
      <xdr:colOff>1962150</xdr:colOff>
      <xdr:row>6</xdr:row>
      <xdr:rowOff>77724</xdr:rowOff>
    </xdr:to>
    <xdr:cxnSp macro="">
      <xdr:nvCxnSpPr>
        <xdr:cNvPr id="99" name="Straight Arrow Connector 98"/>
        <xdr:cNvCxnSpPr>
          <a:stCxn id="95" idx="3"/>
          <a:endCxn id="96" idx="2"/>
        </xdr:cNvCxnSpPr>
      </xdr:nvCxnSpPr>
      <xdr:spPr>
        <a:xfrm flipV="1">
          <a:off x="16592550" y="1200150"/>
          <a:ext cx="0" cy="2057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819151</xdr:colOff>
      <xdr:row>6</xdr:row>
      <xdr:rowOff>57150</xdr:rowOff>
    </xdr:from>
    <xdr:to>
      <xdr:col>27</xdr:col>
      <xdr:colOff>204537</xdr:colOff>
      <xdr:row>6</xdr:row>
      <xdr:rowOff>57150</xdr:rowOff>
    </xdr:to>
    <xdr:cxnSp macro="">
      <xdr:nvCxnSpPr>
        <xdr:cNvPr id="100" name="Straight Arrow Connector 99"/>
        <xdr:cNvCxnSpPr>
          <a:stCxn id="96" idx="6"/>
          <a:endCxn id="97" idx="1"/>
        </xdr:cNvCxnSpPr>
      </xdr:nvCxnSpPr>
      <xdr:spPr>
        <a:xfrm>
          <a:off x="17230726" y="1200150"/>
          <a:ext cx="204536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306917</xdr:colOff>
      <xdr:row>7</xdr:row>
      <xdr:rowOff>95250</xdr:rowOff>
    </xdr:from>
    <xdr:to>
      <xdr:col>20</xdr:col>
      <xdr:colOff>731309</xdr:colOff>
      <xdr:row>10</xdr:row>
      <xdr:rowOff>38100</xdr:rowOff>
    </xdr:to>
    <xdr:sp macro="" textlink="">
      <xdr:nvSpPr>
        <xdr:cNvPr id="101" name="Oval 100"/>
        <xdr:cNvSpPr/>
      </xdr:nvSpPr>
      <xdr:spPr>
        <a:xfrm>
          <a:off x="12432242" y="1428750"/>
          <a:ext cx="967317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19</xdr:col>
      <xdr:colOff>331259</xdr:colOff>
      <xdr:row>8</xdr:row>
      <xdr:rowOff>19050</xdr:rowOff>
    </xdr:from>
    <xdr:to>
      <xdr:col>20</xdr:col>
      <xdr:colOff>493103</xdr:colOff>
      <xdr:row>9</xdr:row>
      <xdr:rowOff>127280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456584" y="1543050"/>
          <a:ext cx="800019" cy="298730"/>
        </a:xfrm>
        <a:prstGeom prst="rect">
          <a:avLst/>
        </a:prstGeom>
      </xdr:spPr>
    </xdr:pic>
    <xdr:clientData/>
  </xdr:twoCellAnchor>
  <xdr:twoCellAnchor>
    <xdr:from>
      <xdr:col>21</xdr:col>
      <xdr:colOff>1307041</xdr:colOff>
      <xdr:row>7</xdr:row>
      <xdr:rowOff>154517</xdr:rowOff>
    </xdr:from>
    <xdr:to>
      <xdr:col>22</xdr:col>
      <xdr:colOff>905933</xdr:colOff>
      <xdr:row>10</xdr:row>
      <xdr:rowOff>97367</xdr:rowOff>
    </xdr:to>
    <xdr:sp macro="" textlink="">
      <xdr:nvSpPr>
        <xdr:cNvPr id="103" name="Oval 102"/>
        <xdr:cNvSpPr/>
      </xdr:nvSpPr>
      <xdr:spPr>
        <a:xfrm>
          <a:off x="14041966" y="1488017"/>
          <a:ext cx="637117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22</xdr:col>
      <xdr:colOff>596899</xdr:colOff>
      <xdr:row>2</xdr:row>
      <xdr:rowOff>147108</xdr:rowOff>
    </xdr:from>
    <xdr:to>
      <xdr:col>23</xdr:col>
      <xdr:colOff>105618</xdr:colOff>
      <xdr:row>4</xdr:row>
      <xdr:rowOff>64838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636749" y="528108"/>
          <a:ext cx="146894" cy="298730"/>
        </a:xfrm>
        <a:prstGeom prst="rect">
          <a:avLst/>
        </a:prstGeom>
      </xdr:spPr>
    </xdr:pic>
    <xdr:clientData/>
  </xdr:twoCellAnchor>
  <xdr:twoCellAnchor editAs="oneCell">
    <xdr:from>
      <xdr:col>21</xdr:col>
      <xdr:colOff>1317625</xdr:colOff>
      <xdr:row>8</xdr:row>
      <xdr:rowOff>80433</xdr:rowOff>
    </xdr:from>
    <xdr:to>
      <xdr:col>22</xdr:col>
      <xdr:colOff>653969</xdr:colOff>
      <xdr:row>9</xdr:row>
      <xdr:rowOff>188663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043025" y="1604433"/>
          <a:ext cx="631744" cy="298730"/>
        </a:xfrm>
        <a:prstGeom prst="rect">
          <a:avLst/>
        </a:prstGeom>
      </xdr:spPr>
    </xdr:pic>
    <xdr:clientData/>
  </xdr:twoCellAnchor>
  <xdr:oneCellAnchor>
    <xdr:from>
      <xdr:col>17</xdr:col>
      <xdr:colOff>306918</xdr:colOff>
      <xdr:row>2</xdr:row>
      <xdr:rowOff>52917</xdr:rowOff>
    </xdr:from>
    <xdr:ext cx="256160" cy="264560"/>
    <xdr:sp macro="" textlink="">
      <xdr:nvSpPr>
        <xdr:cNvPr id="106" name="TextBox 105"/>
        <xdr:cNvSpPr txBox="1"/>
      </xdr:nvSpPr>
      <xdr:spPr>
        <a:xfrm>
          <a:off x="11155893" y="433917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</a:t>
          </a:r>
        </a:p>
      </xdr:txBody>
    </xdr:sp>
    <xdr:clientData/>
  </xdr:oneCellAnchor>
  <xdr:oneCellAnchor>
    <xdr:from>
      <xdr:col>20</xdr:col>
      <xdr:colOff>359834</xdr:colOff>
      <xdr:row>8</xdr:row>
      <xdr:rowOff>21166</xdr:rowOff>
    </xdr:from>
    <xdr:ext cx="256160" cy="264560"/>
    <xdr:sp macro="" textlink="">
      <xdr:nvSpPr>
        <xdr:cNvPr id="107" name="TextBox 106"/>
        <xdr:cNvSpPr txBox="1"/>
      </xdr:nvSpPr>
      <xdr:spPr>
        <a:xfrm>
          <a:off x="13123334" y="1545166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4</a:t>
          </a:r>
        </a:p>
      </xdr:txBody>
    </xdr:sp>
    <xdr:clientData/>
  </xdr:oneCellAnchor>
  <xdr:oneCellAnchor>
    <xdr:from>
      <xdr:col>22</xdr:col>
      <xdr:colOff>497417</xdr:colOff>
      <xdr:row>8</xdr:row>
      <xdr:rowOff>74083</xdr:rowOff>
    </xdr:from>
    <xdr:ext cx="256160" cy="264560"/>
    <xdr:sp macro="" textlink="">
      <xdr:nvSpPr>
        <xdr:cNvPr id="108" name="TextBox 107"/>
        <xdr:cNvSpPr txBox="1"/>
      </xdr:nvSpPr>
      <xdr:spPr>
        <a:xfrm>
          <a:off x="14537267" y="1598083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5</a:t>
          </a:r>
        </a:p>
      </xdr:txBody>
    </xdr:sp>
    <xdr:clientData/>
  </xdr:oneCellAnchor>
  <xdr:twoCellAnchor editAs="oneCell">
    <xdr:from>
      <xdr:col>21</xdr:col>
      <xdr:colOff>0</xdr:colOff>
      <xdr:row>7</xdr:row>
      <xdr:rowOff>127000</xdr:rowOff>
    </xdr:from>
    <xdr:to>
      <xdr:col>21</xdr:col>
      <xdr:colOff>793968</xdr:colOff>
      <xdr:row>9</xdr:row>
      <xdr:rowOff>44730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401675" y="1460500"/>
          <a:ext cx="641568" cy="298730"/>
        </a:xfrm>
        <a:prstGeom prst="rect">
          <a:avLst/>
        </a:prstGeom>
      </xdr:spPr>
    </xdr:pic>
    <xdr:clientData/>
  </xdr:twoCellAnchor>
  <xdr:oneCellAnchor>
    <xdr:from>
      <xdr:col>16</xdr:col>
      <xdr:colOff>328082</xdr:colOff>
      <xdr:row>5</xdr:row>
      <xdr:rowOff>158750</xdr:rowOff>
    </xdr:from>
    <xdr:ext cx="449162" cy="264560"/>
    <xdr:sp macro="" textlink="">
      <xdr:nvSpPr>
        <xdr:cNvPr id="110" name="TextBox 109"/>
        <xdr:cNvSpPr txBox="1"/>
      </xdr:nvSpPr>
      <xdr:spPr>
        <a:xfrm>
          <a:off x="10538882" y="1111250"/>
          <a:ext cx="4491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HX 4</a:t>
          </a:r>
        </a:p>
      </xdr:txBody>
    </xdr:sp>
    <xdr:clientData/>
  </xdr:oneCellAnchor>
  <xdr:twoCellAnchor editAs="oneCell">
    <xdr:from>
      <xdr:col>25</xdr:col>
      <xdr:colOff>882316</xdr:colOff>
      <xdr:row>5</xdr:row>
      <xdr:rowOff>121819</xdr:rowOff>
    </xdr:from>
    <xdr:to>
      <xdr:col>25</xdr:col>
      <xdr:colOff>1339556</xdr:colOff>
      <xdr:row>7</xdr:row>
      <xdr:rowOff>39549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6589041" y="1074319"/>
          <a:ext cx="40" cy="298730"/>
        </a:xfrm>
        <a:prstGeom prst="rect">
          <a:avLst/>
        </a:prstGeom>
      </xdr:spPr>
    </xdr:pic>
    <xdr:clientData/>
  </xdr:twoCellAnchor>
  <xdr:twoCellAnchor editAs="oneCell">
    <xdr:from>
      <xdr:col>25</xdr:col>
      <xdr:colOff>842210</xdr:colOff>
      <xdr:row>6</xdr:row>
      <xdr:rowOff>71688</xdr:rowOff>
    </xdr:from>
    <xdr:to>
      <xdr:col>25</xdr:col>
      <xdr:colOff>1427477</xdr:colOff>
      <xdr:row>7</xdr:row>
      <xdr:rowOff>179918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6596560" y="1214688"/>
          <a:ext cx="0" cy="298730"/>
        </a:xfrm>
        <a:prstGeom prst="rect">
          <a:avLst/>
        </a:prstGeom>
      </xdr:spPr>
    </xdr:pic>
    <xdr:clientData/>
  </xdr:twoCellAnchor>
  <xdr:oneCellAnchor>
    <xdr:from>
      <xdr:col>25</xdr:col>
      <xdr:colOff>1012658</xdr:colOff>
      <xdr:row>5</xdr:row>
      <xdr:rowOff>160421</xdr:rowOff>
    </xdr:from>
    <xdr:ext cx="184731" cy="264560"/>
    <xdr:sp macro="" textlink="">
      <xdr:nvSpPr>
        <xdr:cNvPr id="113" name="TextBox 112"/>
        <xdr:cNvSpPr txBox="1"/>
      </xdr:nvSpPr>
      <xdr:spPr>
        <a:xfrm>
          <a:off x="16595558" y="11129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25</xdr:col>
      <xdr:colOff>852237</xdr:colOff>
      <xdr:row>4</xdr:row>
      <xdr:rowOff>151899</xdr:rowOff>
    </xdr:from>
    <xdr:to>
      <xdr:col>25</xdr:col>
      <xdr:colOff>1339959</xdr:colOff>
      <xdr:row>6</xdr:row>
      <xdr:rowOff>69629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6597062" y="913899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26</xdr:col>
      <xdr:colOff>5013</xdr:colOff>
      <xdr:row>5</xdr:row>
      <xdr:rowOff>100263</xdr:rowOff>
    </xdr:from>
    <xdr:to>
      <xdr:col>26</xdr:col>
      <xdr:colOff>651245</xdr:colOff>
      <xdr:row>7</xdr:row>
      <xdr:rowOff>17993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6597563" y="1052763"/>
          <a:ext cx="636707" cy="298730"/>
        </a:xfrm>
        <a:prstGeom prst="rect">
          <a:avLst/>
        </a:prstGeom>
      </xdr:spPr>
    </xdr:pic>
    <xdr:clientData/>
  </xdr:twoCellAnchor>
  <xdr:twoCellAnchor editAs="oneCell">
    <xdr:from>
      <xdr:col>27</xdr:col>
      <xdr:colOff>134353</xdr:colOff>
      <xdr:row>5</xdr:row>
      <xdr:rowOff>105276</xdr:rowOff>
    </xdr:from>
    <xdr:to>
      <xdr:col>28</xdr:col>
      <xdr:colOff>210041</xdr:colOff>
      <xdr:row>7</xdr:row>
      <xdr:rowOff>23006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7365078" y="1057776"/>
          <a:ext cx="713863" cy="298730"/>
        </a:xfrm>
        <a:prstGeom prst="rect">
          <a:avLst/>
        </a:prstGeom>
      </xdr:spPr>
    </xdr:pic>
    <xdr:clientData/>
  </xdr:twoCellAnchor>
  <xdr:twoCellAnchor editAs="oneCell">
    <xdr:from>
      <xdr:col>24</xdr:col>
      <xdr:colOff>415591</xdr:colOff>
      <xdr:row>5</xdr:row>
      <xdr:rowOff>81213</xdr:rowOff>
    </xdr:from>
    <xdr:to>
      <xdr:col>25</xdr:col>
      <xdr:colOff>156796</xdr:colOff>
      <xdr:row>6</xdr:row>
      <xdr:rowOff>189443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5731791" y="1033713"/>
          <a:ext cx="379380" cy="298730"/>
        </a:xfrm>
        <a:prstGeom prst="rect">
          <a:avLst/>
        </a:prstGeom>
      </xdr:spPr>
    </xdr:pic>
    <xdr:clientData/>
  </xdr:twoCellAnchor>
  <xdr:twoCellAnchor editAs="oneCell">
    <xdr:from>
      <xdr:col>24</xdr:col>
      <xdr:colOff>726407</xdr:colOff>
      <xdr:row>6</xdr:row>
      <xdr:rowOff>141370</xdr:rowOff>
    </xdr:from>
    <xdr:to>
      <xdr:col>24</xdr:col>
      <xdr:colOff>970268</xdr:colOff>
      <xdr:row>8</xdr:row>
      <xdr:rowOff>59100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5956882" y="1284370"/>
          <a:ext cx="0" cy="298730"/>
        </a:xfrm>
        <a:prstGeom prst="rect">
          <a:avLst/>
        </a:prstGeom>
      </xdr:spPr>
    </xdr:pic>
    <xdr:clientData/>
  </xdr:twoCellAnchor>
  <xdr:twoCellAnchor>
    <xdr:from>
      <xdr:col>27</xdr:col>
      <xdr:colOff>403057</xdr:colOff>
      <xdr:row>2</xdr:row>
      <xdr:rowOff>120317</xdr:rowOff>
    </xdr:from>
    <xdr:to>
      <xdr:col>29</xdr:col>
      <xdr:colOff>561473</xdr:colOff>
      <xdr:row>4</xdr:row>
      <xdr:rowOff>95251</xdr:rowOff>
    </xdr:to>
    <xdr:cxnSp macro="">
      <xdr:nvCxnSpPr>
        <xdr:cNvPr id="119" name="Elbow Connector 118"/>
        <xdr:cNvCxnSpPr>
          <a:stCxn id="97" idx="0"/>
        </xdr:cNvCxnSpPr>
      </xdr:nvCxnSpPr>
      <xdr:spPr>
        <a:xfrm rot="5400000" flipH="1" flipV="1">
          <a:off x="18173198" y="-38099"/>
          <a:ext cx="355934" cy="143476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28</xdr:col>
      <xdr:colOff>220579</xdr:colOff>
      <xdr:row>3</xdr:row>
      <xdr:rowOff>40105</xdr:rowOff>
    </xdr:from>
    <xdr:ext cx="184731" cy="264560"/>
    <xdr:sp macro="" textlink="">
      <xdr:nvSpPr>
        <xdr:cNvPr id="120" name="TextBox 119"/>
        <xdr:cNvSpPr txBox="1"/>
      </xdr:nvSpPr>
      <xdr:spPr>
        <a:xfrm>
          <a:off x="18089479" y="611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27</xdr:col>
      <xdr:colOff>342899</xdr:colOff>
      <xdr:row>1</xdr:row>
      <xdr:rowOff>100265</xdr:rowOff>
    </xdr:from>
    <xdr:to>
      <xdr:col>28</xdr:col>
      <xdr:colOff>467359</xdr:colOff>
      <xdr:row>3</xdr:row>
      <xdr:rowOff>17995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7573624" y="290765"/>
          <a:ext cx="762635" cy="298730"/>
        </a:xfrm>
        <a:prstGeom prst="rect">
          <a:avLst/>
        </a:prstGeom>
      </xdr:spPr>
    </xdr:pic>
    <xdr:clientData/>
  </xdr:twoCellAnchor>
  <xdr:oneCellAnchor>
    <xdr:from>
      <xdr:col>29</xdr:col>
      <xdr:colOff>100263</xdr:colOff>
      <xdr:row>3</xdr:row>
      <xdr:rowOff>180473</xdr:rowOff>
    </xdr:from>
    <xdr:ext cx="184731" cy="264560"/>
    <xdr:sp macro="" textlink="">
      <xdr:nvSpPr>
        <xdr:cNvPr id="122" name="TextBox 121"/>
        <xdr:cNvSpPr txBox="1"/>
      </xdr:nvSpPr>
      <xdr:spPr>
        <a:xfrm>
          <a:off x="18607338" y="7519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28</xdr:col>
      <xdr:colOff>372979</xdr:colOff>
      <xdr:row>1</xdr:row>
      <xdr:rowOff>100265</xdr:rowOff>
    </xdr:from>
    <xdr:to>
      <xdr:col>29</xdr:col>
      <xdr:colOff>449326</xdr:colOff>
      <xdr:row>3</xdr:row>
      <xdr:rowOff>17995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8241879" y="290765"/>
          <a:ext cx="714522" cy="298730"/>
        </a:xfrm>
        <a:prstGeom prst="rect">
          <a:avLst/>
        </a:prstGeom>
      </xdr:spPr>
    </xdr:pic>
    <xdr:clientData/>
  </xdr:twoCellAnchor>
  <xdr:twoCellAnchor>
    <xdr:from>
      <xdr:col>32</xdr:col>
      <xdr:colOff>85224</xdr:colOff>
      <xdr:row>3</xdr:row>
      <xdr:rowOff>25065</xdr:rowOff>
    </xdr:from>
    <xdr:to>
      <xdr:col>32</xdr:col>
      <xdr:colOff>772026</xdr:colOff>
      <xdr:row>6</xdr:row>
      <xdr:rowOff>170447</xdr:rowOff>
    </xdr:to>
    <xdr:sp macro="" textlink="">
      <xdr:nvSpPr>
        <xdr:cNvPr id="124" name="Trapezoid 123"/>
        <xdr:cNvSpPr/>
      </xdr:nvSpPr>
      <xdr:spPr>
        <a:xfrm rot="5400000">
          <a:off x="20425109" y="678280"/>
          <a:ext cx="716882" cy="553452"/>
        </a:xfrm>
        <a:prstGeom prst="trapezoid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70184</xdr:colOff>
      <xdr:row>3</xdr:row>
      <xdr:rowOff>150395</xdr:rowOff>
    </xdr:from>
    <xdr:to>
      <xdr:col>33</xdr:col>
      <xdr:colOff>635669</xdr:colOff>
      <xdr:row>6</xdr:row>
      <xdr:rowOff>36095</xdr:rowOff>
    </xdr:to>
    <xdr:sp macro="" textlink="">
      <xdr:nvSpPr>
        <xdr:cNvPr id="125" name="Rounded Rectangle 124"/>
        <xdr:cNvSpPr/>
      </xdr:nvSpPr>
      <xdr:spPr>
        <a:xfrm>
          <a:off x="21129959" y="721895"/>
          <a:ext cx="56548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5</a:t>
          </a:r>
        </a:p>
      </xdr:txBody>
    </xdr:sp>
    <xdr:clientData/>
  </xdr:twoCellAnchor>
  <xdr:twoCellAnchor>
    <xdr:from>
      <xdr:col>33</xdr:col>
      <xdr:colOff>681791</xdr:colOff>
      <xdr:row>2</xdr:row>
      <xdr:rowOff>1</xdr:rowOff>
    </xdr:from>
    <xdr:to>
      <xdr:col>33</xdr:col>
      <xdr:colOff>1674397</xdr:colOff>
      <xdr:row>4</xdr:row>
      <xdr:rowOff>133351</xdr:rowOff>
    </xdr:to>
    <xdr:sp macro="" textlink="">
      <xdr:nvSpPr>
        <xdr:cNvPr id="126" name="Oval 125"/>
        <xdr:cNvSpPr/>
      </xdr:nvSpPr>
      <xdr:spPr>
        <a:xfrm>
          <a:off x="21693941" y="381001"/>
          <a:ext cx="200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3</a:t>
          </a:r>
        </a:p>
      </xdr:txBody>
    </xdr:sp>
    <xdr:clientData/>
  </xdr:twoCellAnchor>
  <xdr:twoCellAnchor>
    <xdr:from>
      <xdr:col>33</xdr:col>
      <xdr:colOff>1955133</xdr:colOff>
      <xdr:row>2</xdr:row>
      <xdr:rowOff>60157</xdr:rowOff>
    </xdr:from>
    <xdr:to>
      <xdr:col>33</xdr:col>
      <xdr:colOff>2259933</xdr:colOff>
      <xdr:row>6</xdr:row>
      <xdr:rowOff>31582</xdr:rowOff>
    </xdr:to>
    <xdr:sp macro="" textlink="">
      <xdr:nvSpPr>
        <xdr:cNvPr id="127" name="Rectangle 126"/>
        <xdr:cNvSpPr/>
      </xdr:nvSpPr>
      <xdr:spPr>
        <a:xfrm>
          <a:off x="21700458" y="441157"/>
          <a:ext cx="0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34</xdr:col>
      <xdr:colOff>360948</xdr:colOff>
      <xdr:row>2</xdr:row>
      <xdr:rowOff>50132</xdr:rowOff>
    </xdr:from>
    <xdr:to>
      <xdr:col>34</xdr:col>
      <xdr:colOff>665748</xdr:colOff>
      <xdr:row>6</xdr:row>
      <xdr:rowOff>21557</xdr:rowOff>
    </xdr:to>
    <xdr:sp macro="" textlink="">
      <xdr:nvSpPr>
        <xdr:cNvPr id="128" name="Rectangle 127"/>
        <xdr:cNvSpPr/>
      </xdr:nvSpPr>
      <xdr:spPr>
        <a:xfrm>
          <a:off x="22058898" y="431132"/>
          <a:ext cx="276225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33</xdr:col>
      <xdr:colOff>70184</xdr:colOff>
      <xdr:row>8</xdr:row>
      <xdr:rowOff>20053</xdr:rowOff>
    </xdr:from>
    <xdr:to>
      <xdr:col>33</xdr:col>
      <xdr:colOff>635669</xdr:colOff>
      <xdr:row>10</xdr:row>
      <xdr:rowOff>96253</xdr:rowOff>
    </xdr:to>
    <xdr:sp macro="" textlink="">
      <xdr:nvSpPr>
        <xdr:cNvPr id="129" name="Rounded Rectangle 128"/>
        <xdr:cNvSpPr/>
      </xdr:nvSpPr>
      <xdr:spPr>
        <a:xfrm>
          <a:off x="21129959" y="1544053"/>
          <a:ext cx="56548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6</a:t>
          </a:r>
        </a:p>
      </xdr:txBody>
    </xdr:sp>
    <xdr:clientData/>
  </xdr:twoCellAnchor>
  <xdr:twoCellAnchor>
    <xdr:from>
      <xdr:col>33</xdr:col>
      <xdr:colOff>1112921</xdr:colOff>
      <xdr:row>7</xdr:row>
      <xdr:rowOff>20053</xdr:rowOff>
    </xdr:from>
    <xdr:to>
      <xdr:col>33</xdr:col>
      <xdr:colOff>1509963</xdr:colOff>
      <xdr:row>10</xdr:row>
      <xdr:rowOff>134353</xdr:rowOff>
    </xdr:to>
    <xdr:sp macro="" textlink="">
      <xdr:nvSpPr>
        <xdr:cNvPr id="130" name="Rectangle 129"/>
        <xdr:cNvSpPr/>
      </xdr:nvSpPr>
      <xdr:spPr>
        <a:xfrm>
          <a:off x="21696446" y="1353553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7</a:t>
          </a:r>
        </a:p>
      </xdr:txBody>
    </xdr:sp>
    <xdr:clientData/>
  </xdr:twoCellAnchor>
  <xdr:twoCellAnchor>
    <xdr:from>
      <xdr:col>33</xdr:col>
      <xdr:colOff>1955132</xdr:colOff>
      <xdr:row>7</xdr:row>
      <xdr:rowOff>40107</xdr:rowOff>
    </xdr:from>
    <xdr:to>
      <xdr:col>34</xdr:col>
      <xdr:colOff>254208</xdr:colOff>
      <xdr:row>10</xdr:row>
      <xdr:rowOff>81255</xdr:rowOff>
    </xdr:to>
    <xdr:sp macro="" textlink="">
      <xdr:nvSpPr>
        <xdr:cNvPr id="131" name="Flowchart: Summing Junction 130"/>
        <xdr:cNvSpPr/>
      </xdr:nvSpPr>
      <xdr:spPr>
        <a:xfrm>
          <a:off x="21700457" y="1373607"/>
          <a:ext cx="251701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4</a:t>
          </a:r>
        </a:p>
      </xdr:txBody>
    </xdr:sp>
    <xdr:clientData/>
  </xdr:twoCellAnchor>
  <xdr:twoCellAnchor>
    <xdr:from>
      <xdr:col>34</xdr:col>
      <xdr:colOff>671763</xdr:colOff>
      <xdr:row>6</xdr:row>
      <xdr:rowOff>190499</xdr:rowOff>
    </xdr:from>
    <xdr:to>
      <xdr:col>35</xdr:col>
      <xdr:colOff>126331</xdr:colOff>
      <xdr:row>10</xdr:row>
      <xdr:rowOff>114299</xdr:rowOff>
    </xdr:to>
    <xdr:sp macro="" textlink="">
      <xdr:nvSpPr>
        <xdr:cNvPr id="132" name="Rectangle 131"/>
        <xdr:cNvSpPr/>
      </xdr:nvSpPr>
      <xdr:spPr>
        <a:xfrm>
          <a:off x="22331613" y="1333499"/>
          <a:ext cx="130843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8</a:t>
          </a:r>
        </a:p>
      </xdr:txBody>
    </xdr:sp>
    <xdr:clientData/>
  </xdr:twoCellAnchor>
  <xdr:twoCellAnchor>
    <xdr:from>
      <xdr:col>35</xdr:col>
      <xdr:colOff>581525</xdr:colOff>
      <xdr:row>7</xdr:row>
      <xdr:rowOff>30079</xdr:rowOff>
    </xdr:from>
    <xdr:to>
      <xdr:col>36</xdr:col>
      <xdr:colOff>625180</xdr:colOff>
      <xdr:row>10</xdr:row>
      <xdr:rowOff>71227</xdr:rowOff>
    </xdr:to>
    <xdr:sp macro="" textlink="">
      <xdr:nvSpPr>
        <xdr:cNvPr id="133" name="Flowchart: Summing Junction 132"/>
        <xdr:cNvSpPr/>
      </xdr:nvSpPr>
      <xdr:spPr>
        <a:xfrm>
          <a:off x="22917650" y="1363579"/>
          <a:ext cx="681830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5</a:t>
          </a:r>
        </a:p>
      </xdr:txBody>
    </xdr:sp>
    <xdr:clientData/>
  </xdr:twoCellAnchor>
  <xdr:twoCellAnchor>
    <xdr:from>
      <xdr:col>35</xdr:col>
      <xdr:colOff>381001</xdr:colOff>
      <xdr:row>2</xdr:row>
      <xdr:rowOff>80210</xdr:rowOff>
    </xdr:from>
    <xdr:to>
      <xdr:col>36</xdr:col>
      <xdr:colOff>156412</xdr:colOff>
      <xdr:row>6</xdr:row>
      <xdr:rowOff>4010</xdr:rowOff>
    </xdr:to>
    <xdr:sp macro="" textlink="">
      <xdr:nvSpPr>
        <xdr:cNvPr id="134" name="Rectangle 133"/>
        <xdr:cNvSpPr/>
      </xdr:nvSpPr>
      <xdr:spPr>
        <a:xfrm>
          <a:off x="22717126" y="461210"/>
          <a:ext cx="413586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9</a:t>
          </a:r>
        </a:p>
      </xdr:txBody>
    </xdr:sp>
    <xdr:clientData/>
  </xdr:twoCellAnchor>
  <xdr:twoCellAnchor>
    <xdr:from>
      <xdr:col>32</xdr:col>
      <xdr:colOff>772026</xdr:colOff>
      <xdr:row>4</xdr:row>
      <xdr:rowOff>188495</xdr:rowOff>
    </xdr:from>
    <xdr:to>
      <xdr:col>33</xdr:col>
      <xdr:colOff>70184</xdr:colOff>
      <xdr:row>5</xdr:row>
      <xdr:rowOff>2506</xdr:rowOff>
    </xdr:to>
    <xdr:cxnSp macro="">
      <xdr:nvCxnSpPr>
        <xdr:cNvPr id="135" name="Straight Arrow Connector 134"/>
        <xdr:cNvCxnSpPr>
          <a:stCxn id="124" idx="0"/>
          <a:endCxn id="125" idx="1"/>
        </xdr:cNvCxnSpPr>
      </xdr:nvCxnSpPr>
      <xdr:spPr>
        <a:xfrm flipV="1">
          <a:off x="21060276" y="950495"/>
          <a:ext cx="69683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352927</xdr:colOff>
      <xdr:row>6</xdr:row>
      <xdr:rowOff>36095</xdr:rowOff>
    </xdr:from>
    <xdr:to>
      <xdr:col>33</xdr:col>
      <xdr:colOff>352927</xdr:colOff>
      <xdr:row>8</xdr:row>
      <xdr:rowOff>20053</xdr:rowOff>
    </xdr:to>
    <xdr:cxnSp macro="">
      <xdr:nvCxnSpPr>
        <xdr:cNvPr id="136" name="Straight Arrow Connector 135"/>
        <xdr:cNvCxnSpPr>
          <a:stCxn id="125" idx="2"/>
          <a:endCxn id="129" idx="0"/>
        </xdr:cNvCxnSpPr>
      </xdr:nvCxnSpPr>
      <xdr:spPr>
        <a:xfrm>
          <a:off x="21412702" y="1179095"/>
          <a:ext cx="0" cy="36495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352928</xdr:colOff>
      <xdr:row>3</xdr:row>
      <xdr:rowOff>66676</xdr:rowOff>
    </xdr:from>
    <xdr:to>
      <xdr:col>33</xdr:col>
      <xdr:colOff>681792</xdr:colOff>
      <xdr:row>3</xdr:row>
      <xdr:rowOff>150395</xdr:rowOff>
    </xdr:to>
    <xdr:cxnSp macro="">
      <xdr:nvCxnSpPr>
        <xdr:cNvPr id="137" name="Elbow Connector 136"/>
        <xdr:cNvCxnSpPr>
          <a:stCxn id="125" idx="0"/>
          <a:endCxn id="126" idx="2"/>
        </xdr:cNvCxnSpPr>
      </xdr:nvCxnSpPr>
      <xdr:spPr>
        <a:xfrm rot="5400000" flipH="1" flipV="1">
          <a:off x="21511463" y="539416"/>
          <a:ext cx="83719" cy="28123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2286000</xdr:colOff>
      <xdr:row>4</xdr:row>
      <xdr:rowOff>30079</xdr:rowOff>
    </xdr:from>
    <xdr:to>
      <xdr:col>34</xdr:col>
      <xdr:colOff>360948</xdr:colOff>
      <xdr:row>4</xdr:row>
      <xdr:rowOff>34590</xdr:rowOff>
    </xdr:to>
    <xdr:cxnSp macro="">
      <xdr:nvCxnSpPr>
        <xdr:cNvPr id="138" name="Straight Arrow Connector 137"/>
        <xdr:cNvCxnSpPr/>
      </xdr:nvCxnSpPr>
      <xdr:spPr>
        <a:xfrm flipV="1">
          <a:off x="21697950" y="792079"/>
          <a:ext cx="36094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1674397</xdr:colOff>
      <xdr:row>3</xdr:row>
      <xdr:rowOff>66676</xdr:rowOff>
    </xdr:from>
    <xdr:to>
      <xdr:col>33</xdr:col>
      <xdr:colOff>1955133</xdr:colOff>
      <xdr:row>4</xdr:row>
      <xdr:rowOff>45870</xdr:rowOff>
    </xdr:to>
    <xdr:cxnSp macro="">
      <xdr:nvCxnSpPr>
        <xdr:cNvPr id="139" name="Elbow Connector 138"/>
        <xdr:cNvCxnSpPr>
          <a:stCxn id="126" idx="6"/>
          <a:endCxn id="127" idx="1"/>
        </xdr:cNvCxnSpPr>
      </xdr:nvCxnSpPr>
      <xdr:spPr>
        <a:xfrm>
          <a:off x="21695947" y="638176"/>
          <a:ext cx="4511" cy="169694"/>
        </a:xfrm>
        <a:prstGeom prst="bentConnector3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513347</xdr:colOff>
      <xdr:row>1</xdr:row>
      <xdr:rowOff>50131</xdr:rowOff>
    </xdr:from>
    <xdr:to>
      <xdr:col>34</xdr:col>
      <xdr:colOff>842210</xdr:colOff>
      <xdr:row>6</xdr:row>
      <xdr:rowOff>21557</xdr:rowOff>
    </xdr:to>
    <xdr:cxnSp macro="">
      <xdr:nvCxnSpPr>
        <xdr:cNvPr id="140" name="Elbow Connector 139"/>
        <xdr:cNvCxnSpPr>
          <a:stCxn id="128" idx="2"/>
        </xdr:cNvCxnSpPr>
      </xdr:nvCxnSpPr>
      <xdr:spPr>
        <a:xfrm rot="5400000" flipH="1" flipV="1">
          <a:off x="21813753" y="638175"/>
          <a:ext cx="923926" cy="128838"/>
        </a:xfrm>
        <a:prstGeom prst="bentConnector3">
          <a:avLst>
            <a:gd name="adj1" fmla="val -10635"/>
          </a:avLst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352928</xdr:colOff>
      <xdr:row>1</xdr:row>
      <xdr:rowOff>70183</xdr:rowOff>
    </xdr:from>
    <xdr:to>
      <xdr:col>34</xdr:col>
      <xdr:colOff>822159</xdr:colOff>
      <xdr:row>3</xdr:row>
      <xdr:rowOff>150394</xdr:rowOff>
    </xdr:to>
    <xdr:cxnSp macro="">
      <xdr:nvCxnSpPr>
        <xdr:cNvPr id="141" name="Elbow Connector 140"/>
        <xdr:cNvCxnSpPr>
          <a:endCxn id="125" idx="0"/>
        </xdr:cNvCxnSpPr>
      </xdr:nvCxnSpPr>
      <xdr:spPr>
        <a:xfrm rot="10800000" flipV="1">
          <a:off x="21412703" y="260683"/>
          <a:ext cx="926431" cy="46121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513348</xdr:colOff>
      <xdr:row>1</xdr:row>
      <xdr:rowOff>80210</xdr:rowOff>
    </xdr:from>
    <xdr:to>
      <xdr:col>37</xdr:col>
      <xdr:colOff>381000</xdr:colOff>
      <xdr:row>2</xdr:row>
      <xdr:rowOff>50132</xdr:rowOff>
    </xdr:to>
    <xdr:cxnSp macro="">
      <xdr:nvCxnSpPr>
        <xdr:cNvPr id="142" name="Elbow Connector 141"/>
        <xdr:cNvCxnSpPr>
          <a:stCxn id="128" idx="0"/>
        </xdr:cNvCxnSpPr>
      </xdr:nvCxnSpPr>
      <xdr:spPr>
        <a:xfrm rot="5400000" flipH="1" flipV="1">
          <a:off x="23022176" y="-540168"/>
          <a:ext cx="160422" cy="178217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643690</xdr:colOff>
      <xdr:row>9</xdr:row>
      <xdr:rowOff>0</xdr:rowOff>
    </xdr:from>
    <xdr:to>
      <xdr:col>33</xdr:col>
      <xdr:colOff>1084848</xdr:colOff>
      <xdr:row>9</xdr:row>
      <xdr:rowOff>4511</xdr:rowOff>
    </xdr:to>
    <xdr:cxnSp macro="">
      <xdr:nvCxnSpPr>
        <xdr:cNvPr id="143" name="Straight Arrow Connector 142"/>
        <xdr:cNvCxnSpPr/>
      </xdr:nvCxnSpPr>
      <xdr:spPr>
        <a:xfrm flipV="1">
          <a:off x="21693940" y="1714500"/>
          <a:ext cx="300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1534026</xdr:colOff>
      <xdr:row>8</xdr:row>
      <xdr:rowOff>180474</xdr:rowOff>
    </xdr:from>
    <xdr:to>
      <xdr:col>33</xdr:col>
      <xdr:colOff>1975184</xdr:colOff>
      <xdr:row>8</xdr:row>
      <xdr:rowOff>184985</xdr:rowOff>
    </xdr:to>
    <xdr:cxnSp macro="">
      <xdr:nvCxnSpPr>
        <xdr:cNvPr id="144" name="Straight Arrow Connector 143"/>
        <xdr:cNvCxnSpPr/>
      </xdr:nvCxnSpPr>
      <xdr:spPr>
        <a:xfrm flipV="1">
          <a:off x="21698451" y="1704474"/>
          <a:ext cx="300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254208</xdr:colOff>
      <xdr:row>8</xdr:row>
      <xdr:rowOff>152399</xdr:rowOff>
    </xdr:from>
    <xdr:to>
      <xdr:col>34</xdr:col>
      <xdr:colOff>671763</xdr:colOff>
      <xdr:row>8</xdr:row>
      <xdr:rowOff>155931</xdr:rowOff>
    </xdr:to>
    <xdr:cxnSp macro="">
      <xdr:nvCxnSpPr>
        <xdr:cNvPr id="145" name="Straight Arrow Connector 144"/>
        <xdr:cNvCxnSpPr>
          <a:stCxn id="131" idx="6"/>
          <a:endCxn id="132" idx="1"/>
        </xdr:cNvCxnSpPr>
      </xdr:nvCxnSpPr>
      <xdr:spPr>
        <a:xfrm flipV="1">
          <a:off x="21952158" y="1676399"/>
          <a:ext cx="379455" cy="353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130341</xdr:colOff>
      <xdr:row>9</xdr:row>
      <xdr:rowOff>30079</xdr:rowOff>
    </xdr:from>
    <xdr:to>
      <xdr:col>35</xdr:col>
      <xdr:colOff>571499</xdr:colOff>
      <xdr:row>9</xdr:row>
      <xdr:rowOff>34590</xdr:rowOff>
    </xdr:to>
    <xdr:cxnSp macro="">
      <xdr:nvCxnSpPr>
        <xdr:cNvPr id="146" name="Straight Arrow Connector 145"/>
        <xdr:cNvCxnSpPr/>
      </xdr:nvCxnSpPr>
      <xdr:spPr>
        <a:xfrm flipV="1">
          <a:off x="22466466" y="1744579"/>
          <a:ext cx="44115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1311441</xdr:colOff>
      <xdr:row>6</xdr:row>
      <xdr:rowOff>90238</xdr:rowOff>
    </xdr:from>
    <xdr:to>
      <xdr:col>37</xdr:col>
      <xdr:colOff>541420</xdr:colOff>
      <xdr:row>7</xdr:row>
      <xdr:rowOff>20054</xdr:rowOff>
    </xdr:to>
    <xdr:cxnSp macro="">
      <xdr:nvCxnSpPr>
        <xdr:cNvPr id="147" name="Elbow Connector 146"/>
        <xdr:cNvCxnSpPr>
          <a:stCxn id="130" idx="0"/>
        </xdr:cNvCxnSpPr>
      </xdr:nvCxnSpPr>
      <xdr:spPr>
        <a:xfrm rot="5400000" flipH="1" flipV="1">
          <a:off x="22864260" y="63919"/>
          <a:ext cx="120316" cy="2458954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870284</xdr:colOff>
      <xdr:row>6</xdr:row>
      <xdr:rowOff>70184</xdr:rowOff>
    </xdr:from>
    <xdr:to>
      <xdr:col>37</xdr:col>
      <xdr:colOff>541420</xdr:colOff>
      <xdr:row>7</xdr:row>
      <xdr:rowOff>40104</xdr:rowOff>
    </xdr:to>
    <xdr:cxnSp macro="">
      <xdr:nvCxnSpPr>
        <xdr:cNvPr id="148" name="Elbow Connector 147"/>
        <xdr:cNvCxnSpPr/>
      </xdr:nvCxnSpPr>
      <xdr:spPr>
        <a:xfrm rot="5400000" flipH="1" flipV="1">
          <a:off x="23166555" y="386263"/>
          <a:ext cx="160420" cy="181426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579522</xdr:colOff>
      <xdr:row>2</xdr:row>
      <xdr:rowOff>80209</xdr:rowOff>
    </xdr:from>
    <xdr:to>
      <xdr:col>37</xdr:col>
      <xdr:colOff>451184</xdr:colOff>
      <xdr:row>6</xdr:row>
      <xdr:rowOff>90236</xdr:rowOff>
    </xdr:to>
    <xdr:cxnSp macro="">
      <xdr:nvCxnSpPr>
        <xdr:cNvPr id="149" name="Elbow Connector 148"/>
        <xdr:cNvCxnSpPr>
          <a:stCxn id="134" idx="0"/>
        </xdr:cNvCxnSpPr>
      </xdr:nvCxnSpPr>
      <xdr:spPr>
        <a:xfrm rot="16200000" flipH="1">
          <a:off x="23103639" y="273217"/>
          <a:ext cx="772027" cy="1148012"/>
        </a:xfrm>
        <a:prstGeom prst="bentConnector4">
          <a:avLst>
            <a:gd name="adj1" fmla="val -29610"/>
            <a:gd name="adj2" fmla="val 58746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561474</xdr:colOff>
      <xdr:row>4</xdr:row>
      <xdr:rowOff>180474</xdr:rowOff>
    </xdr:from>
    <xdr:to>
      <xdr:col>37</xdr:col>
      <xdr:colOff>958516</xdr:colOff>
      <xdr:row>8</xdr:row>
      <xdr:rowOff>104274</xdr:rowOff>
    </xdr:to>
    <xdr:sp macro="" textlink="">
      <xdr:nvSpPr>
        <xdr:cNvPr id="150" name="Rectangle 149"/>
        <xdr:cNvSpPr/>
      </xdr:nvSpPr>
      <xdr:spPr>
        <a:xfrm>
          <a:off x="24173949" y="942474"/>
          <a:ext cx="73192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10</a:t>
          </a:r>
        </a:p>
      </xdr:txBody>
    </xdr:sp>
    <xdr:clientData/>
  </xdr:twoCellAnchor>
  <xdr:twoCellAnchor>
    <xdr:from>
      <xdr:col>25</xdr:col>
      <xdr:colOff>1022684</xdr:colOff>
      <xdr:row>24</xdr:row>
      <xdr:rowOff>152400</xdr:rowOff>
    </xdr:from>
    <xdr:to>
      <xdr:col>30</xdr:col>
      <xdr:colOff>40105</xdr:colOff>
      <xdr:row>38</xdr:row>
      <xdr:rowOff>38100</xdr:rowOff>
    </xdr:to>
    <xdr:graphicFrame macro="">
      <xdr:nvGraphicFramePr>
        <xdr:cNvPr id="151" name="Chart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1127960</xdr:colOff>
      <xdr:row>22</xdr:row>
      <xdr:rowOff>2006</xdr:rowOff>
    </xdr:from>
    <xdr:to>
      <xdr:col>14</xdr:col>
      <xdr:colOff>20054</xdr:colOff>
      <xdr:row>37</xdr:row>
      <xdr:rowOff>60158</xdr:rowOff>
    </xdr:to>
    <xdr:graphicFrame macro="">
      <xdr:nvGraphicFramePr>
        <xdr:cNvPr id="152" name="Chart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309562</xdr:colOff>
      <xdr:row>69</xdr:row>
      <xdr:rowOff>59531</xdr:rowOff>
    </xdr:from>
    <xdr:to>
      <xdr:col>15</xdr:col>
      <xdr:colOff>892967</xdr:colOff>
      <xdr:row>79</xdr:row>
      <xdr:rowOff>345282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12</xdr:row>
      <xdr:rowOff>52387</xdr:rowOff>
    </xdr:from>
    <xdr:to>
      <xdr:col>18</xdr:col>
      <xdr:colOff>600075</xdr:colOff>
      <xdr:row>26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123825</xdr:colOff>
      <xdr:row>12</xdr:row>
      <xdr:rowOff>71437</xdr:rowOff>
    </xdr:from>
    <xdr:to>
      <xdr:col>7</xdr:col>
      <xdr:colOff>180975</xdr:colOff>
      <xdr:row>26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jeta%20Patel/Downloads/Joint_econ_4_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lance Sheet"/>
      <sheetName val="IRR Data"/>
      <sheetName val="IRR Chart"/>
      <sheetName val="Sheet1"/>
    </sheetNames>
    <sheetDataSet>
      <sheetData sheetId="0"/>
      <sheetData sheetId="1"/>
      <sheetData sheetId="2" refreshError="1"/>
      <sheetData sheetId="3">
        <row r="14">
          <cell r="C14">
            <v>1.092727</v>
          </cell>
          <cell r="D14">
            <v>1.1255088100000001</v>
          </cell>
          <cell r="E14">
            <v>1.1592740743000001</v>
          </cell>
          <cell r="F14">
            <v>1.1940522965290001</v>
          </cell>
          <cell r="G14">
            <v>1.2298738654248702</v>
          </cell>
          <cell r="H14">
            <v>1.2667700813876164</v>
          </cell>
          <cell r="I14">
            <v>1.3047731838292449</v>
          </cell>
          <cell r="J14">
            <v>1.3439163793441222</v>
          </cell>
          <cell r="K14">
            <v>1.3842338707244459</v>
          </cell>
          <cell r="L14">
            <v>1.4257608868461793</v>
          </cell>
          <cell r="M14">
            <v>1.4685337134515648</v>
          </cell>
          <cell r="N14">
            <v>1.5125897248551119</v>
          </cell>
          <cell r="O14">
            <v>1.5579674166007653</v>
          </cell>
          <cell r="P14">
            <v>1.6047064390987884</v>
          </cell>
          <cell r="Q14">
            <v>1.652847632271752</v>
          </cell>
          <cell r="R14">
            <v>1.7024330612399046</v>
          </cell>
          <cell r="S14">
            <v>1.7535060530771018</v>
          </cell>
        </row>
      </sheetData>
    </sheetDataSet>
  </externalBook>
</externalLink>
</file>

<file path=xl/tables/table1.xml><?xml version="1.0" encoding="utf-8"?>
<table xmlns="http://schemas.openxmlformats.org/spreadsheetml/2006/main" id="3" name="Table14" displayName="Table14" ref="A12:H19" totalsRowCount="1" headerRowDxfId="69">
  <autoFilter ref="A12:H18"/>
  <tableColumns count="8">
    <tableColumn id="2" name="Equipment Name" totalsRowLabel="Total"/>
    <tableColumn id="3" name="Description"/>
    <tableColumn id="4" name="Material"/>
    <tableColumn id="5" name="unit"/>
    <tableColumn id="6" name="SIZE"/>
    <tableColumn id="8" name="Equipment Cost" totalsRowFunction="sum" dataDxfId="68" totalsRowDxfId="67"/>
    <tableColumn id="1" name="MODULE FACTOR" dataDxfId="66" totalsRowDxfId="65"/>
    <tableColumn id="9" name="Direct Cost" totalsRowFunction="sum" dataDxfId="64" totalsRowDxfId="63">
      <calculatedColumnFormula>Table14[[#This Row],[Equipment Cost]]*1.3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25" displayName="Table25" ref="I12:P21" totalsRowCount="1" headerRowDxfId="62">
  <autoFilter ref="I12:P20"/>
  <tableColumns count="8">
    <tableColumn id="1" name="Equipment Name" totalsRowLabel="Total"/>
    <tableColumn id="2" name="Description"/>
    <tableColumn id="3" name="Material"/>
    <tableColumn id="4" name="Unit"/>
    <tableColumn id="5" name="Size" dataDxfId="61"/>
    <tableColumn id="6" name="Equipment Cost" totalsRowFunction="sum" dataDxfId="60" totalsRowDxfId="59"/>
    <tableColumn id="8" name="Column1" dataDxfId="58" totalsRowDxfId="57"/>
    <tableColumn id="7" name="Direct Cost" totalsRowFunction="sum" dataDxfId="56" totalsRowDxfId="55">
      <calculatedColumnFormula>Table25[[#This Row],[Equipment Cost]]*Table25[[#This Row],[Column1]]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5" name="Table4" displayName="Table4" ref="Q12:X25" totalsRowCount="1" headerRowDxfId="54">
  <autoFilter ref="Q12:X24"/>
  <tableColumns count="8">
    <tableColumn id="1" name="Equipment Name" totalsRowLabel="Total"/>
    <tableColumn id="2" name="Discription" dataDxfId="53"/>
    <tableColumn id="3" name="Material" dataDxfId="52"/>
    <tableColumn id="4" name="Unit"/>
    <tableColumn id="5" name="Size" dataDxfId="51"/>
    <tableColumn id="6" name="Equipment Cost" totalsRowFunction="sum" dataDxfId="50" totalsRowDxfId="49"/>
    <tableColumn id="9" name="module factor" dataDxfId="48" totalsRowDxfId="47"/>
    <tableColumn id="7" name="Direct Cost" totalsRowFunction="sum" dataDxfId="46" totalsRowDxfId="45">
      <calculatedColumnFormula>Table4[[#This Row],[Equipment Cost]]*Table4[[#This Row],[module factor]]</calculatedColumnFormula>
    </tableColumn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id="6" name="Table5" displayName="Table5" ref="Y12:AF17" totalsRowCount="1" headerRowDxfId="44">
  <autoFilter ref="Y12:AF16"/>
  <tableColumns count="8">
    <tableColumn id="1" name="Equipment Name" totalsRowLabel="Total"/>
    <tableColumn id="2" name="Discription"/>
    <tableColumn id="3" name="Material"/>
    <tableColumn id="4" name="Unit" dataDxfId="43" totalsRowDxfId="42"/>
    <tableColumn id="5" name="Size" dataDxfId="41" totalsRowDxfId="40"/>
    <tableColumn id="6" name="Equipment Cost" totalsRowFunction="sum" dataDxfId="39"/>
    <tableColumn id="8" name="Column1" dataDxfId="38" totalsRowDxfId="37"/>
    <tableColumn id="7" name="Direct Cost" totalsRowFunction="sum" dataDxfId="36">
      <calculatedColumnFormula>Table5[[#This Row],[Equipment Cost]]*Table5[[#This Row],[Column1]]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e6" displayName="Table6" ref="AG12:AN36" totalsRowCount="1" headerRowDxfId="35" tableBorderDxfId="34">
  <autoFilter ref="AG12:AN35"/>
  <tableColumns count="8">
    <tableColumn id="1" name="Equipment Name" totalsRowLabel="Total"/>
    <tableColumn id="2" name="Discription"/>
    <tableColumn id="3" name="Material"/>
    <tableColumn id="4" name="Unit" dataDxfId="33"/>
    <tableColumn id="5" name="Size" dataDxfId="32"/>
    <tableColumn id="6" name="Equipment Cost" totalsRowFunction="sum" dataDxfId="31" totalsRowDxfId="30"/>
    <tableColumn id="14" name="Column1" dataDxfId="29"/>
    <tableColumn id="7" name="Direct Cost" totalsRowFunction="sum" dataDxfId="28" totalsRowDxfId="27">
      <calculatedColumnFormula>Table6[[#This Row],[Equipment Cost]]*Table6[[#This Row],[Column1]]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2" name="Table2" displayName="Table2" ref="C70:H81" totalsRowShown="0" headerRowDxfId="26" dataDxfId="25">
  <autoFilter ref="C70:H81"/>
  <tableColumns count="6">
    <tableColumn id="1" name="Cost Parameters" dataDxfId="24" totalsRowDxfId="23"/>
    <tableColumn id="2" name="0th year" dataDxfId="22" totalsRowDxfId="21"/>
    <tableColumn id="3" name="1st year" dataDxfId="20" totalsRowDxfId="19"/>
    <tableColumn id="4" name="2nd  year" dataDxfId="18" totalsRowDxfId="17"/>
    <tableColumn id="5" name="3rd year" dataDxfId="16" totalsRowDxfId="15"/>
    <tableColumn id="7" name="19th year" dataDxfId="14" totalsRowDxfId="13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1" name="Table1" displayName="Table1" ref="C55:I60" totalsRowCount="1">
  <autoFilter ref="C55:I59"/>
  <tableColumns count="7">
    <tableColumn id="1" name="Catalyst" totalsRowLabel="Total" dataDxfId="12" totalsRowDxfId="11"/>
    <tableColumn id="10" name="amount" dataDxfId="10" totalsRowDxfId="9"/>
    <tableColumn id="9" name="Units" dataDxfId="8" totalsRowDxfId="7"/>
    <tableColumn id="11" name="Cost/lb" dataDxfId="6" totalsRowDxfId="5"/>
    <tableColumn id="2" name="Cost 1st year" totalsRowFunction="sum" dataDxfId="4" totalsRowDxfId="3"/>
    <tableColumn id="12" name="Replacement period" dataDxfId="2" totalsRowDxfId="1"/>
    <tableColumn id="3" name="Cost 4th Year" totalsRowFunction="custom" totalsRowDxfId="0" dataCellStyle="Currency">
      <calculatedColumnFormula>G56*1.03</calculatedColumnFormula>
      <totalsRowFormula>SUM([Cost 4th Year])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6"/>
  <sheetViews>
    <sheetView view="pageLayout" topLeftCell="E19" zoomScale="95" zoomScaleNormal="100" zoomScalePageLayoutView="95" workbookViewId="0">
      <selection activeCell="G19" sqref="G19"/>
    </sheetView>
  </sheetViews>
  <sheetFormatPr defaultRowHeight="15"/>
  <cols>
    <col min="1" max="1" width="12.140625" customWidth="1"/>
    <col min="2" max="2" width="30.7109375" customWidth="1"/>
    <col min="3" max="3" width="15.85546875" customWidth="1"/>
    <col min="4" max="4" width="8" customWidth="1"/>
    <col min="5" max="5" width="8.28515625" customWidth="1"/>
    <col min="6" max="6" width="15.85546875" customWidth="1"/>
    <col min="7" max="7" width="15.140625" customWidth="1"/>
    <col min="8" max="8" width="17.85546875" customWidth="1"/>
    <col min="9" max="9" width="16.140625" customWidth="1"/>
    <col min="10" max="10" width="27.5703125" customWidth="1"/>
    <col min="11" max="11" width="17" customWidth="1"/>
    <col min="12" max="12" width="9.140625" customWidth="1"/>
    <col min="13" max="13" width="10.42578125" customWidth="1"/>
    <col min="14" max="14" width="15.7109375" customWidth="1"/>
    <col min="15" max="15" width="10.140625" customWidth="1"/>
    <col min="16" max="16" width="17.28515625" customWidth="1"/>
    <col min="17" max="17" width="13.42578125" customWidth="1"/>
    <col min="18" max="18" width="32.28515625" customWidth="1"/>
    <col min="19" max="19" width="10.140625" customWidth="1"/>
    <col min="20" max="20" width="7.140625" customWidth="1"/>
    <col min="21" max="21" width="11.140625" customWidth="1"/>
    <col min="22" max="22" width="19" customWidth="1"/>
    <col min="23" max="23" width="15.140625" customWidth="1"/>
    <col min="24" max="24" width="15.7109375" customWidth="1"/>
    <col min="25" max="25" width="15" customWidth="1"/>
    <col min="26" max="26" width="30.42578125" customWidth="1"/>
    <col min="27" max="27" width="15.5703125" customWidth="1"/>
    <col min="28" max="28" width="7" customWidth="1"/>
    <col min="29" max="29" width="9.85546875" customWidth="1"/>
    <col min="30" max="30" width="16.28515625" customWidth="1"/>
    <col min="31" max="31" width="10.5703125" customWidth="1"/>
    <col min="32" max="32" width="19.5703125" customWidth="1"/>
    <col min="33" max="33" width="16.28515625" customWidth="1"/>
    <col min="34" max="34" width="33.7109375" customWidth="1"/>
    <col min="35" max="35" width="13.42578125" customWidth="1"/>
    <col min="36" max="36" width="8.85546875" customWidth="1"/>
    <col min="37" max="37" width="9.140625" customWidth="1"/>
    <col min="38" max="38" width="15.42578125" customWidth="1"/>
    <col min="39" max="39" width="9.140625" customWidth="1"/>
    <col min="40" max="40" width="19" customWidth="1"/>
  </cols>
  <sheetData>
    <row r="1" spans="1:40" ht="24.75" customHeight="1" thickBot="1">
      <c r="K1" s="154" t="s">
        <v>314</v>
      </c>
      <c r="L1" s="154"/>
    </row>
    <row r="2" spans="1:40">
      <c r="A2" s="155" t="s">
        <v>65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6"/>
      <c r="Z2" s="156"/>
      <c r="AA2" s="156"/>
      <c r="AB2" s="156"/>
      <c r="AC2" s="156"/>
      <c r="AD2" s="156"/>
      <c r="AE2" s="156"/>
      <c r="AF2" s="157"/>
      <c r="AG2" s="150"/>
      <c r="AH2" s="151"/>
      <c r="AI2" s="151"/>
      <c r="AJ2" s="151"/>
      <c r="AK2" s="151"/>
      <c r="AL2" s="151"/>
      <c r="AM2" s="151"/>
      <c r="AN2" s="151"/>
    </row>
    <row r="3" spans="1:40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8"/>
      <c r="AG3" s="152"/>
      <c r="AH3" s="153"/>
      <c r="AI3" s="153"/>
      <c r="AJ3" s="153"/>
      <c r="AK3" s="153"/>
      <c r="AL3" s="153"/>
      <c r="AM3" s="153"/>
      <c r="AN3" s="153"/>
    </row>
    <row r="4" spans="1:40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8"/>
      <c r="AG4" s="152"/>
      <c r="AH4" s="153"/>
      <c r="AI4" s="153"/>
      <c r="AJ4" s="153"/>
      <c r="AK4" s="153"/>
      <c r="AL4" s="153"/>
      <c r="AM4" s="153"/>
      <c r="AN4" s="153"/>
    </row>
    <row r="5" spans="1:40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8"/>
      <c r="AG5" s="152"/>
      <c r="AH5" s="153"/>
      <c r="AI5" s="153"/>
      <c r="AJ5" s="153"/>
      <c r="AK5" s="153"/>
      <c r="AL5" s="153"/>
      <c r="AM5" s="153"/>
      <c r="AN5" s="153"/>
    </row>
    <row r="6" spans="1:40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8"/>
      <c r="AG6" s="152"/>
      <c r="AH6" s="153"/>
      <c r="AI6" s="153"/>
      <c r="AJ6" s="153"/>
      <c r="AK6" s="153"/>
      <c r="AL6" s="153"/>
      <c r="AM6" s="153"/>
      <c r="AN6" s="153"/>
    </row>
    <row r="7" spans="1:40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8"/>
      <c r="AG7" s="152"/>
      <c r="AH7" s="153"/>
      <c r="AI7" s="153"/>
      <c r="AJ7" s="153"/>
      <c r="AK7" s="153"/>
      <c r="AL7" s="153"/>
      <c r="AM7" s="153"/>
      <c r="AN7" s="153"/>
    </row>
    <row r="8" spans="1:40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8"/>
      <c r="AG8" s="152"/>
      <c r="AH8" s="153"/>
      <c r="AI8" s="153"/>
      <c r="AJ8" s="153"/>
      <c r="AK8" s="153"/>
      <c r="AL8" s="153"/>
      <c r="AM8" s="153"/>
      <c r="AN8" s="153"/>
    </row>
    <row r="9" spans="1:40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8"/>
      <c r="AG9" s="152"/>
      <c r="AH9" s="153"/>
      <c r="AI9" s="153"/>
      <c r="AJ9" s="153"/>
      <c r="AK9" s="153"/>
      <c r="AL9" s="153"/>
      <c r="AM9" s="153"/>
      <c r="AN9" s="153"/>
    </row>
    <row r="10" spans="1:40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8"/>
      <c r="AG10" s="152"/>
      <c r="AH10" s="153"/>
      <c r="AI10" s="153"/>
      <c r="AJ10" s="153"/>
      <c r="AK10" s="153"/>
      <c r="AL10" s="153"/>
      <c r="AM10" s="153"/>
      <c r="AN10" s="153"/>
    </row>
    <row r="11" spans="1:40" ht="15.75" thickBot="1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9"/>
      <c r="Z11" s="159"/>
      <c r="AA11" s="159"/>
      <c r="AB11" s="159"/>
      <c r="AC11" s="159"/>
      <c r="AD11" s="159"/>
      <c r="AE11" s="159"/>
      <c r="AF11" s="160"/>
      <c r="AG11" s="152"/>
      <c r="AH11" s="153"/>
      <c r="AI11" s="153"/>
      <c r="AJ11" s="153"/>
      <c r="AK11" s="153"/>
      <c r="AL11" s="153"/>
      <c r="AM11" s="153"/>
      <c r="AN11" s="153"/>
    </row>
    <row r="12" spans="1:40" s="16" customFormat="1" ht="30">
      <c r="A12" s="16" t="s">
        <v>309</v>
      </c>
      <c r="B12" s="16" t="s">
        <v>48</v>
      </c>
      <c r="C12" s="109" t="s">
        <v>307</v>
      </c>
      <c r="D12" s="108" t="s">
        <v>313</v>
      </c>
      <c r="E12" s="108" t="s">
        <v>312</v>
      </c>
      <c r="F12" s="16" t="s">
        <v>304</v>
      </c>
      <c r="G12" s="16" t="s">
        <v>311</v>
      </c>
      <c r="H12" s="16" t="s">
        <v>302</v>
      </c>
      <c r="I12" s="16" t="s">
        <v>309</v>
      </c>
      <c r="J12" s="16" t="s">
        <v>48</v>
      </c>
      <c r="K12" s="109" t="s">
        <v>307</v>
      </c>
      <c r="L12" s="108" t="s">
        <v>306</v>
      </c>
      <c r="M12" s="108" t="s">
        <v>305</v>
      </c>
      <c r="N12" s="16" t="s">
        <v>304</v>
      </c>
      <c r="O12" s="16" t="s">
        <v>303</v>
      </c>
      <c r="P12" s="16" t="s">
        <v>302</v>
      </c>
      <c r="Q12" s="16" t="s">
        <v>309</v>
      </c>
      <c r="R12" s="16" t="s">
        <v>308</v>
      </c>
      <c r="S12" s="109" t="s">
        <v>307</v>
      </c>
      <c r="T12" s="108" t="s">
        <v>306</v>
      </c>
      <c r="U12" s="108" t="s">
        <v>305</v>
      </c>
      <c r="V12" s="16" t="s">
        <v>304</v>
      </c>
      <c r="W12" s="16" t="s">
        <v>310</v>
      </c>
      <c r="X12" s="16" t="s">
        <v>302</v>
      </c>
      <c r="Y12" s="16" t="s">
        <v>309</v>
      </c>
      <c r="Z12" s="16" t="s">
        <v>308</v>
      </c>
      <c r="AA12" s="109" t="s">
        <v>307</v>
      </c>
      <c r="AB12" s="108" t="s">
        <v>306</v>
      </c>
      <c r="AC12" s="108" t="s">
        <v>305</v>
      </c>
      <c r="AD12" s="16" t="s">
        <v>304</v>
      </c>
      <c r="AE12" s="16" t="s">
        <v>303</v>
      </c>
      <c r="AF12" s="16" t="s">
        <v>302</v>
      </c>
      <c r="AG12" s="16" t="s">
        <v>309</v>
      </c>
      <c r="AH12" s="16" t="s">
        <v>308</v>
      </c>
      <c r="AI12" s="109" t="s">
        <v>307</v>
      </c>
      <c r="AJ12" s="108" t="s">
        <v>306</v>
      </c>
      <c r="AK12" s="108" t="s">
        <v>305</v>
      </c>
      <c r="AL12" s="16" t="s">
        <v>304</v>
      </c>
      <c r="AM12" s="16" t="s">
        <v>303</v>
      </c>
      <c r="AN12" s="16" t="s">
        <v>302</v>
      </c>
    </row>
    <row r="13" spans="1:40" s="16" customFormat="1" ht="47.25" customHeight="1">
      <c r="A13" s="102" t="s">
        <v>301</v>
      </c>
      <c r="B13" s="16" t="s">
        <v>300</v>
      </c>
      <c r="C13" s="90" t="s">
        <v>299</v>
      </c>
      <c r="D13" s="16" t="s">
        <v>298</v>
      </c>
      <c r="E13" s="90">
        <v>1050</v>
      </c>
      <c r="F13" s="92">
        <v>428860</v>
      </c>
      <c r="G13" s="101">
        <v>1.3</v>
      </c>
      <c r="H13" s="100">
        <f>Table14[[#This Row],[Equipment Cost]]*Table14[[#This Row],[MODULE FACTOR]]</f>
        <v>557518</v>
      </c>
      <c r="I13" s="16" t="s">
        <v>297</v>
      </c>
      <c r="J13" s="16" t="s">
        <v>296</v>
      </c>
      <c r="K13" s="105" t="s">
        <v>283</v>
      </c>
      <c r="L13" s="107" t="s">
        <v>216</v>
      </c>
      <c r="M13" s="105" t="s">
        <v>293</v>
      </c>
      <c r="N13" s="18">
        <v>188000</v>
      </c>
      <c r="O13" s="99">
        <v>1.9</v>
      </c>
      <c r="P13" s="18">
        <f>Table25[[#This Row],[Equipment Cost]]*Table25[[#This Row],[Column1]]</f>
        <v>357200</v>
      </c>
      <c r="Q13" s="16" t="s">
        <v>295</v>
      </c>
      <c r="R13" s="16" t="s">
        <v>294</v>
      </c>
      <c r="S13" s="90"/>
      <c r="T13" s="16" t="s">
        <v>229</v>
      </c>
      <c r="U13" s="90">
        <v>238</v>
      </c>
      <c r="V13" s="28">
        <v>92300</v>
      </c>
      <c r="W13" s="93">
        <v>3.2</v>
      </c>
      <c r="X13" s="92">
        <f>Table4[[#This Row],[Equipment Cost]]*Table4[[#This Row],[module factor]]</f>
        <v>295360</v>
      </c>
      <c r="Y13" s="16" t="s">
        <v>64</v>
      </c>
      <c r="AB13" s="90"/>
      <c r="AC13" s="105" t="s">
        <v>293</v>
      </c>
      <c r="AD13" s="18">
        <v>27500</v>
      </c>
      <c r="AE13" s="103">
        <v>2</v>
      </c>
      <c r="AF13" s="18">
        <f>Table5[[#This Row],[Equipment Cost]]*Table5[[#This Row],[Column1]]</f>
        <v>55000</v>
      </c>
      <c r="AG13" s="16" t="s">
        <v>292</v>
      </c>
      <c r="AJ13" s="90" t="s">
        <v>148</v>
      </c>
      <c r="AK13" s="85">
        <v>1596</v>
      </c>
      <c r="AL13" s="88">
        <v>1060600</v>
      </c>
      <c r="AM13" s="87">
        <v>2.6</v>
      </c>
      <c r="AN13" s="18">
        <f>Table6[[#This Row],[Equipment Cost]]*Table6[[#This Row],[Column1]]</f>
        <v>2757560</v>
      </c>
    </row>
    <row r="14" spans="1:40" s="16" customFormat="1" ht="43.5" customHeight="1">
      <c r="A14" s="102" t="s">
        <v>291</v>
      </c>
      <c r="B14" s="16" t="s">
        <v>290</v>
      </c>
      <c r="C14" s="16" t="s">
        <v>289</v>
      </c>
      <c r="F14" s="92" t="s">
        <v>288</v>
      </c>
      <c r="G14" s="101"/>
      <c r="H14" s="100">
        <v>132000000</v>
      </c>
      <c r="I14" s="16" t="s">
        <v>287</v>
      </c>
      <c r="J14" s="16" t="s">
        <v>286</v>
      </c>
      <c r="K14" s="107"/>
      <c r="L14" s="107" t="s">
        <v>285</v>
      </c>
      <c r="M14" s="106">
        <v>6570</v>
      </c>
      <c r="N14" s="18">
        <v>162300</v>
      </c>
      <c r="O14" s="99">
        <v>2.7</v>
      </c>
      <c r="P14" s="18">
        <f>Table25[[#This Row],[Equipment Cost]]*Table25[[#This Row],[Column1]]</f>
        <v>438210</v>
      </c>
      <c r="Q14" s="16" t="s">
        <v>43</v>
      </c>
      <c r="R14" s="16" t="s">
        <v>284</v>
      </c>
      <c r="S14" s="90" t="s">
        <v>283</v>
      </c>
      <c r="U14" s="90"/>
      <c r="V14" s="92">
        <v>309000</v>
      </c>
      <c r="W14" s="103">
        <v>2.1</v>
      </c>
      <c r="X14" s="92">
        <f>Table4[[#This Row],[Equipment Cost]]*Table4[[#This Row],[module factor]]</f>
        <v>648900</v>
      </c>
      <c r="Y14" s="16" t="s">
        <v>282</v>
      </c>
      <c r="AB14" s="90" t="s">
        <v>213</v>
      </c>
      <c r="AC14" s="105" t="s">
        <v>281</v>
      </c>
      <c r="AD14" s="18">
        <v>188200</v>
      </c>
      <c r="AE14" s="103">
        <v>1.9</v>
      </c>
      <c r="AF14" s="18">
        <f>Table5[[#This Row],[Equipment Cost]]*Table5[[#This Row],[Column1]]</f>
        <v>357580</v>
      </c>
      <c r="AG14" t="s">
        <v>280</v>
      </c>
      <c r="AH14"/>
      <c r="AI14"/>
      <c r="AJ14" s="25" t="s">
        <v>213</v>
      </c>
      <c r="AK14" s="85">
        <v>3606.9289100000001</v>
      </c>
      <c r="AL14" s="84">
        <v>82600</v>
      </c>
      <c r="AM14" s="83">
        <v>3.2</v>
      </c>
      <c r="AN14" s="29">
        <f>Table6[[#This Row],[Equipment Cost]]*Table6[[#This Row],[Column1]]</f>
        <v>264320</v>
      </c>
    </row>
    <row r="15" spans="1:40" s="16" customFormat="1" ht="48" customHeight="1">
      <c r="A15" s="102" t="s">
        <v>279</v>
      </c>
      <c r="B15" s="16" t="s">
        <v>278</v>
      </c>
      <c r="D15" s="16" t="s">
        <v>213</v>
      </c>
      <c r="E15" s="90">
        <v>492</v>
      </c>
      <c r="F15" s="92">
        <v>40300</v>
      </c>
      <c r="G15" s="101">
        <v>3.2</v>
      </c>
      <c r="H15" s="100">
        <f>Table14[[#This Row],[Equipment Cost]]*Table14[[#This Row],[MODULE FACTOR]]</f>
        <v>128960</v>
      </c>
      <c r="I15" s="16" t="s">
        <v>277</v>
      </c>
      <c r="J15" s="16" t="s">
        <v>276</v>
      </c>
      <c r="K15" s="90" t="s">
        <v>267</v>
      </c>
      <c r="L15" s="16" t="s">
        <v>216</v>
      </c>
      <c r="M15" s="90" t="s">
        <v>275</v>
      </c>
      <c r="N15" s="30">
        <f>1193300*2</f>
        <v>2386600</v>
      </c>
      <c r="O15" s="99">
        <v>3</v>
      </c>
      <c r="P15" s="18">
        <f>Table25[[#This Row],[Equipment Cost]]*Table25[[#This Row],[Column1]]</f>
        <v>7159800</v>
      </c>
      <c r="Q15" s="16" t="s">
        <v>44</v>
      </c>
      <c r="S15" s="90"/>
      <c r="T15" s="16" t="s">
        <v>229</v>
      </c>
      <c r="U15" s="90">
        <v>439</v>
      </c>
      <c r="V15" s="28">
        <v>16700</v>
      </c>
      <c r="W15" s="93">
        <v>2.7</v>
      </c>
      <c r="X15" s="92">
        <f>Table4[[#This Row],[Equipment Cost]]*Table4[[#This Row],[module factor]]</f>
        <v>45090</v>
      </c>
      <c r="Y15" s="16" t="s">
        <v>274</v>
      </c>
      <c r="AB15" s="90"/>
      <c r="AC15" s="90"/>
      <c r="AD15" s="18">
        <v>10100</v>
      </c>
      <c r="AE15" s="103">
        <v>2.7</v>
      </c>
      <c r="AF15" s="18">
        <f>Table5[[#This Row],[Equipment Cost]]*Table5[[#This Row],[Column1]]</f>
        <v>27270</v>
      </c>
      <c r="AG15" t="s">
        <v>273</v>
      </c>
      <c r="AH15"/>
      <c r="AI15"/>
      <c r="AJ15" s="25" t="s">
        <v>216</v>
      </c>
      <c r="AK15" s="86" t="s">
        <v>272</v>
      </c>
      <c r="AL15" s="30">
        <v>1529200</v>
      </c>
      <c r="AM15" s="83">
        <v>3</v>
      </c>
      <c r="AN15" s="29">
        <f>Table6[[#This Row],[Equipment Cost]]*Table6[[#This Row],[Column1]]</f>
        <v>4587600</v>
      </c>
    </row>
    <row r="16" spans="1:40" s="16" customFormat="1" ht="55.5" customHeight="1">
      <c r="A16" s="102" t="s">
        <v>271</v>
      </c>
      <c r="B16" s="16" t="s">
        <v>270</v>
      </c>
      <c r="D16" s="16" t="s">
        <v>213</v>
      </c>
      <c r="E16" s="90">
        <v>2857</v>
      </c>
      <c r="F16" s="92">
        <v>117400</v>
      </c>
      <c r="G16" s="101">
        <v>3.2</v>
      </c>
      <c r="H16" s="100">
        <f>Table14[[#This Row],[Equipment Cost]]*Table14[[#This Row],[MODULE FACTOR]]</f>
        <v>375680</v>
      </c>
      <c r="I16" s="16" t="s">
        <v>269</v>
      </c>
      <c r="J16" s="16" t="s">
        <v>268</v>
      </c>
      <c r="K16" s="90" t="s">
        <v>267</v>
      </c>
      <c r="L16" s="16" t="s">
        <v>216</v>
      </c>
      <c r="M16" s="90" t="s">
        <v>266</v>
      </c>
      <c r="N16" s="18">
        <f>509400*2</f>
        <v>1018800</v>
      </c>
      <c r="O16" s="99">
        <v>3</v>
      </c>
      <c r="P16" s="18">
        <f>Table25[[#This Row],[Equipment Cost]]*Table25[[#This Row],[Column1]]</f>
        <v>3056400</v>
      </c>
      <c r="Q16" s="16" t="s">
        <v>265</v>
      </c>
      <c r="S16" s="90"/>
      <c r="T16" s="16" t="s">
        <v>224</v>
      </c>
      <c r="U16" s="90">
        <v>680</v>
      </c>
      <c r="V16" s="26">
        <v>86758</v>
      </c>
      <c r="W16" s="104">
        <v>2.8</v>
      </c>
      <c r="X16" s="92">
        <f>Table4[[#This Row],[Equipment Cost]]*Table4[[#This Row],[module factor]]</f>
        <v>242922.4</v>
      </c>
      <c r="Y16" s="16" t="s">
        <v>264</v>
      </c>
      <c r="AB16" s="90" t="s">
        <v>213</v>
      </c>
      <c r="AC16" s="90" t="s">
        <v>263</v>
      </c>
      <c r="AD16" s="18">
        <v>27700</v>
      </c>
      <c r="AE16" s="103">
        <v>2.8</v>
      </c>
      <c r="AF16" s="18">
        <f>Table5[[#This Row],[Equipment Cost]]*Table5[[#This Row],[Column1]]</f>
        <v>77560</v>
      </c>
      <c r="AG16" t="s">
        <v>262</v>
      </c>
      <c r="AH16"/>
      <c r="AI16"/>
      <c r="AJ16" s="25" t="s">
        <v>216</v>
      </c>
      <c r="AK16" s="86" t="s">
        <v>261</v>
      </c>
      <c r="AL16" s="30">
        <v>1061500</v>
      </c>
      <c r="AM16" s="83">
        <v>3</v>
      </c>
      <c r="AN16" s="29">
        <f>Table6[[#This Row],[Equipment Cost]]*Table6[[#This Row],[Column1]]</f>
        <v>3184500</v>
      </c>
    </row>
    <row r="17" spans="1:40" s="16" customFormat="1" ht="60.75" customHeight="1">
      <c r="A17" s="16" t="s">
        <v>260</v>
      </c>
      <c r="B17" s="16" t="s">
        <v>259</v>
      </c>
      <c r="C17" s="16" t="s">
        <v>253</v>
      </c>
      <c r="F17" s="92">
        <v>364770</v>
      </c>
      <c r="G17" s="101">
        <v>2.8</v>
      </c>
      <c r="H17" s="100">
        <f>Table14[[#This Row],[Equipment Cost]]*Table14[[#This Row],[MODULE FACTOR]]</f>
        <v>1021355.9999999999</v>
      </c>
      <c r="I17" s="16" t="s">
        <v>258</v>
      </c>
      <c r="J17" s="16" t="s">
        <v>257</v>
      </c>
      <c r="L17" s="16" t="s">
        <v>248</v>
      </c>
      <c r="M17" s="90">
        <v>383</v>
      </c>
      <c r="N17" s="18">
        <v>106000</v>
      </c>
      <c r="O17" s="99">
        <v>2.8</v>
      </c>
      <c r="P17" s="18">
        <f>Table25[[#This Row],[Equipment Cost]]*Table25[[#This Row],[Column1]]</f>
        <v>296800</v>
      </c>
      <c r="Q17" t="s">
        <v>62</v>
      </c>
      <c r="S17" s="25"/>
      <c r="T17" t="s">
        <v>229</v>
      </c>
      <c r="U17" s="25">
        <v>1574</v>
      </c>
      <c r="V17" s="27">
        <v>38400</v>
      </c>
      <c r="W17" s="95">
        <v>2</v>
      </c>
      <c r="X17" s="92">
        <f>Table4[[#This Row],[Equipment Cost]]*Table4[[#This Row],[module factor]]</f>
        <v>76800</v>
      </c>
      <c r="Y17" t="s">
        <v>85</v>
      </c>
      <c r="Z17"/>
      <c r="AA17"/>
      <c r="AB17" s="25"/>
      <c r="AC17" s="25"/>
      <c r="AD17" s="29">
        <f>SUBTOTAL(109,[Equipment Cost])</f>
        <v>253500</v>
      </c>
      <c r="AE17" s="90"/>
      <c r="AF17" s="29">
        <f>SUBTOTAL(109,[Direct Cost])</f>
        <v>517410</v>
      </c>
      <c r="AG17" s="16" t="s">
        <v>256</v>
      </c>
      <c r="AJ17" s="90"/>
      <c r="AK17" s="90"/>
      <c r="AL17" s="88">
        <v>16300</v>
      </c>
      <c r="AM17" s="87">
        <v>2.7</v>
      </c>
      <c r="AN17" s="18">
        <f>Table6[[#This Row],[Equipment Cost]]*Table6[[#This Row],[Column1]]</f>
        <v>44010</v>
      </c>
    </row>
    <row r="18" spans="1:40" s="16" customFormat="1" ht="79.5" customHeight="1">
      <c r="A18" s="102" t="s">
        <v>255</v>
      </c>
      <c r="B18" s="16" t="s">
        <v>254</v>
      </c>
      <c r="C18" s="16" t="s">
        <v>253</v>
      </c>
      <c r="D18" s="90" t="s">
        <v>252</v>
      </c>
      <c r="E18" s="90" t="s">
        <v>251</v>
      </c>
      <c r="F18" s="92">
        <v>307800</v>
      </c>
      <c r="G18" s="101">
        <v>3.3</v>
      </c>
      <c r="H18" s="100">
        <f>Table14[[#This Row],[Equipment Cost]]*Table14[[#This Row],[MODULE FACTOR]]</f>
        <v>1015740</v>
      </c>
      <c r="I18" s="16" t="s">
        <v>250</v>
      </c>
      <c r="J18" s="16" t="s">
        <v>249</v>
      </c>
      <c r="L18" s="16" t="s">
        <v>248</v>
      </c>
      <c r="M18" s="90">
        <v>6980</v>
      </c>
      <c r="N18" s="18">
        <v>601230</v>
      </c>
      <c r="O18" s="99">
        <v>2.8</v>
      </c>
      <c r="P18" s="18">
        <f>Table25[[#This Row],[Equipment Cost]]*Table25[[#This Row],[Column1]]</f>
        <v>1683444</v>
      </c>
      <c r="Q18" s="16" t="s">
        <v>247</v>
      </c>
      <c r="R18" s="16" t="s">
        <v>246</v>
      </c>
      <c r="S18" s="90"/>
      <c r="U18" s="90"/>
      <c r="V18" s="28">
        <v>223300</v>
      </c>
      <c r="W18" s="93">
        <v>1.9</v>
      </c>
      <c r="X18" s="92">
        <f>Table4[[#This Row],[Equipment Cost]]*Table4[[#This Row],[module factor]]</f>
        <v>424270</v>
      </c>
      <c r="Y18"/>
      <c r="Z18"/>
      <c r="AA18"/>
      <c r="AB18"/>
      <c r="AC18"/>
      <c r="AD18"/>
      <c r="AE18"/>
      <c r="AF18"/>
      <c r="AG18" t="s">
        <v>245</v>
      </c>
      <c r="AH18"/>
      <c r="AI18"/>
      <c r="AJ18" s="25" t="s">
        <v>213</v>
      </c>
      <c r="AK18" s="85">
        <v>5287.3421099999996</v>
      </c>
      <c r="AL18" s="84">
        <v>108900</v>
      </c>
      <c r="AM18" s="83">
        <v>3.2</v>
      </c>
      <c r="AN18" s="29">
        <f>Table6[[#This Row],[Equipment Cost]]*Table6[[#This Row],[Column1]]</f>
        <v>348480</v>
      </c>
    </row>
    <row r="19" spans="1:40" ht="48" customHeight="1">
      <c r="A19" t="s">
        <v>85</v>
      </c>
      <c r="F19" s="36">
        <f>SUBTOTAL(109,[Equipment Cost])</f>
        <v>1259130</v>
      </c>
      <c r="G19" s="36"/>
      <c r="H19" s="36">
        <f>SUBTOTAL(109,[Direct Cost])</f>
        <v>135099254</v>
      </c>
      <c r="I19" s="16" t="s">
        <v>47</v>
      </c>
      <c r="J19" s="16" t="s">
        <v>244</v>
      </c>
      <c r="K19" s="16"/>
      <c r="L19" s="16" t="s">
        <v>229</v>
      </c>
      <c r="M19" s="90">
        <v>5367</v>
      </c>
      <c r="N19" s="18">
        <v>121980</v>
      </c>
      <c r="O19" s="99">
        <v>3.2</v>
      </c>
      <c r="P19" s="18">
        <f>Table25[[#This Row],[Equipment Cost]]*Table25[[#This Row],[Column1]]</f>
        <v>390336</v>
      </c>
      <c r="Q19" s="16" t="s">
        <v>45</v>
      </c>
      <c r="R19" s="16" t="s">
        <v>243</v>
      </c>
      <c r="S19" s="90"/>
      <c r="T19" s="16" t="s">
        <v>229</v>
      </c>
      <c r="U19" s="90">
        <v>257</v>
      </c>
      <c r="V19" s="28">
        <v>13600</v>
      </c>
      <c r="W19" s="93">
        <v>2.7</v>
      </c>
      <c r="X19" s="92">
        <f>Table4[[#This Row],[Equipment Cost]]*Table4[[#This Row],[module factor]]</f>
        <v>36720</v>
      </c>
      <c r="AG19" s="16" t="s">
        <v>242</v>
      </c>
      <c r="AH19" s="16"/>
      <c r="AI19" s="16"/>
      <c r="AJ19" s="90" t="s">
        <v>216</v>
      </c>
      <c r="AK19" s="86" t="s">
        <v>241</v>
      </c>
      <c r="AL19" s="84">
        <v>438000</v>
      </c>
      <c r="AM19" s="87">
        <v>2.8</v>
      </c>
      <c r="AN19" s="18">
        <f>Table6[[#This Row],[Equipment Cost]]*Table6[[#This Row],[Column1]]</f>
        <v>1226400</v>
      </c>
    </row>
    <row r="20" spans="1:40" ht="30.75" thickBot="1">
      <c r="I20" s="16" t="s">
        <v>9</v>
      </c>
      <c r="J20" s="16" t="s">
        <v>240</v>
      </c>
      <c r="K20" s="16"/>
      <c r="L20" s="16" t="s">
        <v>229</v>
      </c>
      <c r="M20" s="90">
        <v>6739</v>
      </c>
      <c r="N20" s="18">
        <v>168800</v>
      </c>
      <c r="O20" s="99">
        <v>2.7</v>
      </c>
      <c r="P20" s="18">
        <f>Table25[[#This Row],[Equipment Cost]]*Table25[[#This Row],[Column1]]</f>
        <v>455760.00000000006</v>
      </c>
      <c r="Q20" t="s">
        <v>239</v>
      </c>
      <c r="R20" s="16" t="s">
        <v>238</v>
      </c>
      <c r="S20" s="25"/>
      <c r="T20" t="s">
        <v>224</v>
      </c>
      <c r="U20" s="25">
        <v>461</v>
      </c>
      <c r="V20" s="28">
        <v>90009</v>
      </c>
      <c r="W20" s="93">
        <v>2.8</v>
      </c>
      <c r="X20" s="92">
        <f>Table4[[#This Row],[Equipment Cost]]*Table4[[#This Row],[module factor]]</f>
        <v>252025.19999999998</v>
      </c>
      <c r="AG20" t="s">
        <v>237</v>
      </c>
      <c r="AJ20" s="25"/>
      <c r="AK20" s="25"/>
      <c r="AL20" s="30">
        <v>777500</v>
      </c>
      <c r="AM20" s="83">
        <v>2</v>
      </c>
      <c r="AN20" s="29">
        <f>Table6[[#This Row],[Equipment Cost]]*Table6[[#This Row],[Column1]]</f>
        <v>1555000</v>
      </c>
    </row>
    <row r="21" spans="1:40" ht="29.25" customHeight="1" thickTop="1" thickBot="1">
      <c r="B21" s="98">
        <f>SUBTOTAL(109,Table14[Direct Cost])</f>
        <v>135099254</v>
      </c>
      <c r="I21" t="s">
        <v>85</v>
      </c>
      <c r="N21" s="29">
        <f>SUBTOTAL(109,[Equipment Cost])</f>
        <v>4753710</v>
      </c>
      <c r="O21" s="29"/>
      <c r="P21" s="29">
        <f>SUBTOTAL(109,[Direct Cost])</f>
        <v>13837950</v>
      </c>
      <c r="Q21" t="s">
        <v>63</v>
      </c>
      <c r="R21" s="16" t="s">
        <v>236</v>
      </c>
      <c r="S21" s="25"/>
      <c r="T21" t="s">
        <v>229</v>
      </c>
      <c r="U21" s="25">
        <v>996</v>
      </c>
      <c r="V21" s="27">
        <v>25100</v>
      </c>
      <c r="W21" s="95">
        <v>2</v>
      </c>
      <c r="X21" s="92">
        <f>Table4[[#This Row],[Equipment Cost]]*Table4[[#This Row],[module factor]]</f>
        <v>50200</v>
      </c>
      <c r="AG21" s="16" t="s">
        <v>235</v>
      </c>
      <c r="AH21" s="16"/>
      <c r="AI21" s="16"/>
      <c r="AJ21" s="90" t="s">
        <v>216</v>
      </c>
      <c r="AK21" s="86" t="s">
        <v>234</v>
      </c>
      <c r="AL21" s="84">
        <v>329500</v>
      </c>
      <c r="AM21" s="87">
        <v>2.8</v>
      </c>
      <c r="AN21" s="18">
        <f>Table6[[#This Row],[Equipment Cost]]*Table6[[#This Row],[Column1]]</f>
        <v>922599.99999999988</v>
      </c>
    </row>
    <row r="22" spans="1:40" ht="35.25" customHeight="1" thickTop="1" thickBot="1">
      <c r="B22" s="29">
        <v>17064712</v>
      </c>
      <c r="C22" s="97">
        <f>SUBTOTAL(109,Table25[Direct Cost])</f>
        <v>13837950</v>
      </c>
      <c r="Q22" t="s">
        <v>233</v>
      </c>
      <c r="R22" s="16" t="s">
        <v>232</v>
      </c>
      <c r="S22" s="25"/>
      <c r="U22" s="25"/>
      <c r="V22" s="96">
        <v>191400</v>
      </c>
      <c r="W22" s="95">
        <v>1.9</v>
      </c>
      <c r="X22" s="92">
        <f>Table4[[#This Row],[Equipment Cost]]*Table4[[#This Row],[module factor]]</f>
        <v>363660</v>
      </c>
      <c r="AG22" t="s">
        <v>231</v>
      </c>
      <c r="AJ22" s="25"/>
      <c r="AK22" s="25"/>
      <c r="AL22" s="30">
        <v>191400</v>
      </c>
      <c r="AM22" s="83">
        <v>2</v>
      </c>
      <c r="AN22" s="29">
        <f>Table6[[#This Row],[Equipment Cost]]*Table6[[#This Row],[Column1]]</f>
        <v>382800</v>
      </c>
    </row>
    <row r="23" spans="1:40" ht="31.5" thickTop="1" thickBot="1">
      <c r="B23" s="91">
        <f>SUBTOTAL(109,Table6[Direct Cost])</f>
        <v>30311530</v>
      </c>
      <c r="C23" s="94">
        <f>SUBTOTAL(109,Table4[Direct Cost])</f>
        <v>2709352.3999999994</v>
      </c>
      <c r="Q23" s="16" t="s">
        <v>46</v>
      </c>
      <c r="R23" s="16" t="s">
        <v>230</v>
      </c>
      <c r="S23" s="90"/>
      <c r="T23" s="16" t="s">
        <v>229</v>
      </c>
      <c r="U23" s="90">
        <v>162</v>
      </c>
      <c r="V23" s="28">
        <v>11800</v>
      </c>
      <c r="W23" s="93">
        <v>2.7</v>
      </c>
      <c r="X23" s="92">
        <f>Table4[[#This Row],[Equipment Cost]]*Table4[[#This Row],[module factor]]</f>
        <v>31860.000000000004</v>
      </c>
      <c r="AG23" s="16" t="s">
        <v>228</v>
      </c>
      <c r="AH23" s="16"/>
      <c r="AI23" s="16"/>
      <c r="AJ23" s="90" t="s">
        <v>216</v>
      </c>
      <c r="AK23" s="86" t="s">
        <v>227</v>
      </c>
      <c r="AL23" s="84">
        <v>254000</v>
      </c>
      <c r="AM23" s="87">
        <v>2.8</v>
      </c>
      <c r="AN23" s="18">
        <f>Table6[[#This Row],[Equipment Cost]]*Table6[[#This Row],[Column1]]</f>
        <v>711200</v>
      </c>
    </row>
    <row r="24" spans="1:40" ht="16.5" thickTop="1" thickBot="1">
      <c r="B24" s="91"/>
      <c r="C24" s="91">
        <f>SUBTOTAL(109,Table5[Direct Cost])</f>
        <v>517410</v>
      </c>
      <c r="Q24" t="s">
        <v>226</v>
      </c>
      <c r="R24" s="16" t="s">
        <v>225</v>
      </c>
      <c r="S24" s="25"/>
      <c r="T24" t="s">
        <v>224</v>
      </c>
      <c r="U24" s="25">
        <v>461</v>
      </c>
      <c r="V24" s="28">
        <v>86266</v>
      </c>
      <c r="W24" s="93">
        <v>2.8</v>
      </c>
      <c r="X24" s="92">
        <f>Table4[[#This Row],[Equipment Cost]]*Table4[[#This Row],[module factor]]</f>
        <v>241544.8</v>
      </c>
      <c r="AG24" s="16" t="s">
        <v>223</v>
      </c>
      <c r="AH24" s="16"/>
      <c r="AI24" s="16"/>
      <c r="AJ24" s="90" t="s">
        <v>148</v>
      </c>
      <c r="AK24" s="85">
        <v>2341</v>
      </c>
      <c r="AL24" s="88">
        <v>2588500</v>
      </c>
      <c r="AM24" s="87">
        <v>2.6</v>
      </c>
      <c r="AN24" s="18">
        <f>Table6[[#This Row],[Equipment Cost]]*Table6[[#This Row],[Column1]]</f>
        <v>6730100</v>
      </c>
    </row>
    <row r="25" spans="1:40" ht="15.75" thickTop="1">
      <c r="B25" s="91"/>
      <c r="C25" s="29">
        <f>SUM(C22:C24)</f>
        <v>17064712.399999999</v>
      </c>
      <c r="Q25" t="s">
        <v>85</v>
      </c>
      <c r="V25" s="27">
        <f>SUBTOTAL(109,[Equipment Cost])</f>
        <v>1184633</v>
      </c>
      <c r="W25" s="27"/>
      <c r="X25" s="27">
        <f>SUBTOTAL(109,[Direct Cost])</f>
        <v>2709352.3999999994</v>
      </c>
      <c r="AG25" s="16" t="s">
        <v>222</v>
      </c>
      <c r="AH25" s="16"/>
      <c r="AI25" s="16"/>
      <c r="AJ25" s="90" t="s">
        <v>148</v>
      </c>
      <c r="AK25" s="85">
        <v>2218</v>
      </c>
      <c r="AL25" s="88">
        <v>1180100</v>
      </c>
      <c r="AM25" s="87">
        <v>2.6</v>
      </c>
      <c r="AN25" s="18">
        <f>Table6[[#This Row],[Equipment Cost]]*Table6[[#This Row],[Column1]]</f>
        <v>3068260</v>
      </c>
    </row>
    <row r="26" spans="1:40">
      <c r="C26" s="29"/>
      <c r="AG26" s="16" t="s">
        <v>221</v>
      </c>
      <c r="AH26" s="16"/>
      <c r="AI26" s="16"/>
      <c r="AJ26" s="90" t="s">
        <v>148</v>
      </c>
      <c r="AK26" s="85">
        <v>1646</v>
      </c>
      <c r="AL26" s="88">
        <v>1107600</v>
      </c>
      <c r="AM26" s="87">
        <v>2.6</v>
      </c>
      <c r="AN26" s="18">
        <f>Table6[[#This Row],[Equipment Cost]]*Table6[[#This Row],[Column1]]</f>
        <v>2879760</v>
      </c>
    </row>
    <row r="27" spans="1:40">
      <c r="AG27" s="16" t="s">
        <v>220</v>
      </c>
      <c r="AH27" s="16"/>
      <c r="AI27" s="16"/>
      <c r="AJ27" s="90"/>
      <c r="AK27" s="89"/>
      <c r="AL27" s="88">
        <v>28400</v>
      </c>
      <c r="AM27" s="87">
        <v>2.7</v>
      </c>
      <c r="AN27" s="18">
        <f>Table6[[#This Row],[Equipment Cost]]*Table6[[#This Row],[Column1]]</f>
        <v>76680</v>
      </c>
    </row>
    <row r="28" spans="1:40">
      <c r="AG28" s="16" t="s">
        <v>219</v>
      </c>
      <c r="AH28" s="16"/>
      <c r="AI28" s="16"/>
      <c r="AJ28" s="90"/>
      <c r="AK28" s="89"/>
      <c r="AL28" s="88">
        <v>15100</v>
      </c>
      <c r="AM28" s="87">
        <v>2.7</v>
      </c>
      <c r="AN28" s="18">
        <f>Table6[[#This Row],[Equipment Cost]]*Table6[[#This Row],[Column1]]</f>
        <v>40770</v>
      </c>
    </row>
    <row r="29" spans="1:40">
      <c r="AG29" t="s">
        <v>218</v>
      </c>
      <c r="AJ29" s="25"/>
      <c r="AK29" s="25"/>
      <c r="AL29" s="29">
        <v>16700</v>
      </c>
      <c r="AM29" s="83">
        <v>2.7</v>
      </c>
      <c r="AN29" s="29">
        <f>Table6[[#This Row],[Equipment Cost]]*Table6[[#This Row],[Column1]]</f>
        <v>45090</v>
      </c>
    </row>
    <row r="30" spans="1:40" ht="30">
      <c r="AG30" t="s">
        <v>217</v>
      </c>
      <c r="AJ30" s="25" t="s">
        <v>216</v>
      </c>
      <c r="AK30" s="86" t="s">
        <v>215</v>
      </c>
      <c r="AL30" s="84">
        <v>27000</v>
      </c>
      <c r="AM30" s="83">
        <v>2.8</v>
      </c>
      <c r="AN30" s="29">
        <f>Table6[[#This Row],[Equipment Cost]]*Table6[[#This Row],[Column1]]</f>
        <v>75600</v>
      </c>
    </row>
    <row r="31" spans="1:40">
      <c r="AG31" t="s">
        <v>214</v>
      </c>
      <c r="AJ31" s="25" t="s">
        <v>213</v>
      </c>
      <c r="AK31" s="85">
        <v>1816.30962</v>
      </c>
      <c r="AL31" s="84">
        <v>42500</v>
      </c>
      <c r="AM31" s="83">
        <v>3.2</v>
      </c>
      <c r="AN31" s="29">
        <f>Table6[[#This Row],[Equipment Cost]]*Table6[[#This Row],[Column1]]</f>
        <v>136000</v>
      </c>
    </row>
    <row r="32" spans="1:40">
      <c r="AJ32" s="25"/>
      <c r="AK32" s="25"/>
      <c r="AL32" s="29"/>
      <c r="AM32" s="83"/>
      <c r="AN32" s="29"/>
    </row>
    <row r="33" spans="33:40">
      <c r="AG33" t="s">
        <v>212</v>
      </c>
      <c r="AJ33" s="25"/>
      <c r="AK33" s="25"/>
      <c r="AL33" s="30">
        <v>637400</v>
      </c>
      <c r="AM33" s="83">
        <v>2</v>
      </c>
      <c r="AN33" s="29">
        <f>Table6[[#This Row],[Equipment Cost]]*Table6[[#This Row],[Column1]]</f>
        <v>1274800</v>
      </c>
    </row>
    <row r="34" spans="33:40">
      <c r="AJ34" s="25"/>
      <c r="AK34" s="25"/>
      <c r="AL34" s="29"/>
      <c r="AM34" s="83"/>
      <c r="AN34" s="29"/>
    </row>
    <row r="35" spans="33:40">
      <c r="AJ35" s="25"/>
      <c r="AK35" s="25"/>
      <c r="AL35" s="29"/>
      <c r="AM35" s="83"/>
      <c r="AN35" s="29"/>
    </row>
    <row r="36" spans="33:40">
      <c r="AG36" t="s">
        <v>85</v>
      </c>
      <c r="AL36" s="29">
        <f>SUBTOTAL(109,[Equipment Cost])</f>
        <v>11492800</v>
      </c>
      <c r="AN36" s="29">
        <f>SUBTOTAL(109,[Direct Cost])</f>
        <v>30311530</v>
      </c>
    </row>
  </sheetData>
  <mergeCells count="6">
    <mergeCell ref="AG2:AN11"/>
    <mergeCell ref="K1:L1"/>
    <mergeCell ref="A2:H11"/>
    <mergeCell ref="I2:P11"/>
    <mergeCell ref="Q2:X11"/>
    <mergeCell ref="Y2:AF11"/>
  </mergeCells>
  <pageMargins left="0.7" right="0.7" top="0.75" bottom="0.75" header="0.3" footer="0.3"/>
  <pageSetup orientation="landscape" horizontalDpi="300" verticalDpi="0" r:id="rId1"/>
  <headerFooter scaleWithDoc="0" alignWithMargins="0">
    <oddFooter>&amp;CClaus Process</oddFooter>
    <firstHeader xml:space="preserve">&amp;CGasification
</firstHeader>
    <firstFooter>&amp;CGasification</first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5" sqref="H15"/>
    </sheetView>
  </sheetViews>
  <sheetFormatPr defaultRowHeight="15"/>
  <cols>
    <col min="1" max="6" width="9.140625" customWidth="1"/>
  </cols>
  <sheetData/>
  <pageMargins left="0.7" right="0.7" top="0.75" bottom="0.75" header="0.3" footer="0.3"/>
  <pageSetup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" sqref="H5"/>
    </sheetView>
  </sheetViews>
  <sheetFormatPr defaultRowHeight="15"/>
  <cols>
    <col min="2" max="2" width="16" customWidth="1"/>
    <col min="3" max="4" width="10" customWidth="1"/>
    <col min="5" max="5" width="12.42578125" customWidth="1"/>
    <col min="6" max="6" width="11.85546875" customWidth="1"/>
    <col min="7" max="7" width="15.140625" customWidth="1"/>
    <col min="8" max="8" width="16.5703125" customWidth="1"/>
  </cols>
  <sheetData>
    <row r="1" spans="1:8" ht="60">
      <c r="A1" s="16"/>
      <c r="B1" s="17"/>
      <c r="C1" s="16"/>
      <c r="D1" s="16"/>
      <c r="E1" s="16"/>
      <c r="F1" s="18"/>
      <c r="G1" s="16"/>
      <c r="H1" s="2" t="s">
        <v>13</v>
      </c>
    </row>
    <row r="2" spans="1:8">
      <c r="A2" s="15"/>
      <c r="B2" s="38" t="s">
        <v>0</v>
      </c>
      <c r="C2" s="161" t="s">
        <v>86</v>
      </c>
      <c r="D2" s="162"/>
      <c r="E2" s="161" t="s">
        <v>4</v>
      </c>
      <c r="F2" s="162"/>
      <c r="G2" s="38" t="s">
        <v>5</v>
      </c>
      <c r="H2" s="38" t="s">
        <v>8</v>
      </c>
    </row>
    <row r="3" spans="1:8">
      <c r="A3" s="16"/>
      <c r="B3" s="39" t="s">
        <v>1</v>
      </c>
      <c r="C3" s="40">
        <v>2000</v>
      </c>
      <c r="D3" s="40" t="s">
        <v>87</v>
      </c>
      <c r="E3" s="41">
        <v>75</v>
      </c>
      <c r="F3" s="42" t="s">
        <v>6</v>
      </c>
      <c r="G3" s="43">
        <f>E3*C3</f>
        <v>150000</v>
      </c>
      <c r="H3" s="37">
        <f>G3*350</f>
        <v>52500000</v>
      </c>
    </row>
    <row r="4" spans="1:8">
      <c r="A4" s="16"/>
      <c r="B4" s="46" t="s">
        <v>89</v>
      </c>
      <c r="C4" s="40">
        <v>1920</v>
      </c>
      <c r="D4" s="40" t="s">
        <v>87</v>
      </c>
      <c r="E4" s="41">
        <v>61</v>
      </c>
      <c r="F4" s="42" t="s">
        <v>90</v>
      </c>
      <c r="G4" s="43">
        <f>E4*C4</f>
        <v>117120</v>
      </c>
      <c r="H4" s="43">
        <f>G4*350</f>
        <v>40992000</v>
      </c>
    </row>
    <row r="5" spans="1:8">
      <c r="A5" s="16"/>
      <c r="B5" s="46" t="s">
        <v>85</v>
      </c>
      <c r="C5" s="40"/>
      <c r="D5" s="40"/>
      <c r="E5" s="40"/>
      <c r="F5" s="42"/>
      <c r="G5" s="43">
        <f>SUM(G3:G3)</f>
        <v>150000</v>
      </c>
      <c r="H5" s="43">
        <f>SUM(H3:H4)</f>
        <v>93492000</v>
      </c>
    </row>
    <row r="6" spans="1:8">
      <c r="A6" s="16"/>
      <c r="B6" s="17"/>
      <c r="C6" s="16"/>
      <c r="D6" s="16"/>
      <c r="E6" s="16"/>
      <c r="F6" s="18"/>
      <c r="G6" s="19"/>
      <c r="H6" s="19"/>
    </row>
    <row r="7" spans="1:8">
      <c r="A7" s="16"/>
    </row>
    <row r="8" spans="1:8">
      <c r="A8" s="16"/>
    </row>
    <row r="9" spans="1:8">
      <c r="A9" s="16"/>
    </row>
    <row r="10" spans="1:8">
      <c r="A10" s="16"/>
    </row>
    <row r="11" spans="1:8">
      <c r="A11" s="16"/>
    </row>
    <row r="12" spans="1:8">
      <c r="A12" s="16"/>
    </row>
  </sheetData>
  <mergeCells count="2">
    <mergeCell ref="E2:F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topLeftCell="A2" workbookViewId="0">
      <selection activeCell="I21" sqref="I21"/>
    </sheetView>
  </sheetViews>
  <sheetFormatPr defaultRowHeight="15"/>
  <cols>
    <col min="1" max="1" width="11" customWidth="1"/>
    <col min="3" max="3" width="11.42578125" customWidth="1"/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10" s="22" customFormat="1">
      <c r="A1" s="23" t="s">
        <v>11</v>
      </c>
      <c r="B1" s="24"/>
      <c r="C1" s="20" t="s">
        <v>48</v>
      </c>
      <c r="D1" s="20"/>
      <c r="E1" s="20" t="s">
        <v>49</v>
      </c>
      <c r="F1" s="21" t="s">
        <v>50</v>
      </c>
      <c r="G1" s="20" t="s">
        <v>51</v>
      </c>
      <c r="H1" s="20" t="s">
        <v>52</v>
      </c>
      <c r="I1" s="21" t="s">
        <v>53</v>
      </c>
    </row>
    <row r="2" spans="1:10">
      <c r="A2" s="1"/>
      <c r="B2" s="1"/>
      <c r="C2" s="13"/>
      <c r="D2" s="13"/>
      <c r="E2" s="13"/>
      <c r="F2" s="14"/>
      <c r="G2" s="13"/>
      <c r="H2" s="13"/>
      <c r="I2" s="14"/>
    </row>
    <row r="3" spans="1:10">
      <c r="A3" s="1"/>
      <c r="B3" s="1"/>
      <c r="C3" s="13" t="s">
        <v>54</v>
      </c>
      <c r="D3" s="13"/>
      <c r="E3" s="13" t="s">
        <v>55</v>
      </c>
      <c r="F3" s="14">
        <v>1.8600049999999999</v>
      </c>
      <c r="G3" s="13" t="s">
        <v>56</v>
      </c>
      <c r="H3" s="13" t="s">
        <v>57</v>
      </c>
      <c r="I3" s="14">
        <v>226.6</v>
      </c>
    </row>
    <row r="4" spans="1:10">
      <c r="A4" s="1"/>
      <c r="B4" s="1"/>
      <c r="C4" s="13" t="s">
        <v>58</v>
      </c>
      <c r="D4" s="13"/>
      <c r="E4" s="13" t="s">
        <v>59</v>
      </c>
      <c r="F4" s="14">
        <v>7.8326380000000002</v>
      </c>
      <c r="G4" s="13" t="s">
        <v>60</v>
      </c>
      <c r="H4" s="13" t="s">
        <v>61</v>
      </c>
      <c r="I4" s="14">
        <v>91.720191</v>
      </c>
      <c r="J4">
        <f>I4*24*350</f>
        <v>770449.60439999995</v>
      </c>
    </row>
    <row r="9" spans="1:10">
      <c r="A9" t="s">
        <v>129</v>
      </c>
      <c r="B9" t="s">
        <v>130</v>
      </c>
      <c r="C9" t="s">
        <v>131</v>
      </c>
      <c r="E9" t="s">
        <v>132</v>
      </c>
      <c r="I9" t="s">
        <v>133</v>
      </c>
    </row>
    <row r="10" spans="1:10">
      <c r="A10" t="s">
        <v>134</v>
      </c>
      <c r="B10">
        <v>2120</v>
      </c>
      <c r="C10">
        <v>1580.8837286400001</v>
      </c>
      <c r="E10">
        <v>5</v>
      </c>
      <c r="I10">
        <v>0.05</v>
      </c>
      <c r="J10" t="s">
        <v>135</v>
      </c>
    </row>
    <row r="11" spans="1:10">
      <c r="A11" t="s">
        <v>136</v>
      </c>
      <c r="B11">
        <v>2342</v>
      </c>
      <c r="C11">
        <v>1746.429100224</v>
      </c>
    </row>
    <row r="12" spans="1:10">
      <c r="A12" t="s">
        <v>137</v>
      </c>
      <c r="B12">
        <v>1596</v>
      </c>
      <c r="C12">
        <v>1190.136995712</v>
      </c>
      <c r="E12" t="s">
        <v>138</v>
      </c>
    </row>
    <row r="13" spans="1:10">
      <c r="A13" t="s">
        <v>139</v>
      </c>
      <c r="B13">
        <v>1423</v>
      </c>
      <c r="C13">
        <v>1061.130917856</v>
      </c>
      <c r="E13">
        <v>24</v>
      </c>
      <c r="F13" t="s">
        <v>140</v>
      </c>
    </row>
    <row r="14" spans="1:10">
      <c r="A14" t="s">
        <v>141</v>
      </c>
      <c r="B14">
        <v>2218</v>
      </c>
      <c r="C14">
        <v>1653.962316096</v>
      </c>
    </row>
    <row r="15" spans="1:10">
      <c r="A15" t="s">
        <v>142</v>
      </c>
      <c r="B15">
        <v>1646</v>
      </c>
      <c r="C15">
        <v>1227.4219893120001</v>
      </c>
    </row>
    <row r="16" spans="1:10">
      <c r="E16" t="s">
        <v>143</v>
      </c>
    </row>
    <row r="17" spans="1:10">
      <c r="A17" t="s">
        <v>85</v>
      </c>
      <c r="B17">
        <v>11345</v>
      </c>
      <c r="C17">
        <v>8459.9650478400017</v>
      </c>
      <c r="E17">
        <v>42299.825239200007</v>
      </c>
      <c r="F17" t="s">
        <v>144</v>
      </c>
    </row>
    <row r="18" spans="1:10">
      <c r="A18" t="s">
        <v>145</v>
      </c>
      <c r="E18" t="s">
        <v>146</v>
      </c>
      <c r="I18" t="s">
        <v>147</v>
      </c>
    </row>
    <row r="19" spans="1:10">
      <c r="A19">
        <v>1</v>
      </c>
      <c r="B19" t="s">
        <v>148</v>
      </c>
      <c r="E19">
        <v>1015195.8057408002</v>
      </c>
      <c r="F19" t="s">
        <v>149</v>
      </c>
      <c r="I19">
        <v>50759.790287040014</v>
      </c>
    </row>
    <row r="20" spans="1:10">
      <c r="A20">
        <v>0.74569987199999999</v>
      </c>
      <c r="B20" t="s">
        <v>150</v>
      </c>
      <c r="I20" t="s">
        <v>151</v>
      </c>
    </row>
    <row r="21" spans="1:10">
      <c r="I21">
        <v>17765926.600464005</v>
      </c>
      <c r="J21" t="s">
        <v>152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81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0" sqref="A10"/>
    </sheetView>
  </sheetViews>
  <sheetFormatPr defaultRowHeight="15"/>
  <cols>
    <col min="1" max="1" width="22.5703125" style="1" customWidth="1"/>
    <col min="2" max="2" width="16.85546875" customWidth="1"/>
    <col min="3" max="3" width="26" customWidth="1"/>
    <col min="4" max="4" width="34" customWidth="1"/>
    <col min="5" max="6" width="34.140625" customWidth="1"/>
    <col min="7" max="7" width="34.42578125" customWidth="1"/>
    <col min="8" max="8" width="35.85546875" customWidth="1"/>
    <col min="9" max="9" width="18.28515625" customWidth="1"/>
    <col min="10" max="10" width="18.5703125" customWidth="1"/>
    <col min="11" max="11" width="18.28515625" customWidth="1"/>
    <col min="12" max="12" width="17.85546875" customWidth="1"/>
    <col min="13" max="13" width="19" customWidth="1"/>
    <col min="14" max="14" width="17.42578125" customWidth="1"/>
    <col min="15" max="15" width="19.42578125" customWidth="1"/>
    <col min="16" max="16" width="19" customWidth="1"/>
    <col min="17" max="17" width="17.5703125" customWidth="1"/>
    <col min="18" max="18" width="19.710937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  <col min="26" max="26" width="16.85546875" customWidth="1"/>
    <col min="27" max="27" width="24.28515625" customWidth="1"/>
  </cols>
  <sheetData>
    <row r="1" spans="1:27" ht="16.5" thickBot="1">
      <c r="A1" s="111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7" ht="16.5" thickBot="1">
      <c r="A2" s="111"/>
      <c r="B2" s="113" t="s">
        <v>192</v>
      </c>
      <c r="C2" s="114">
        <v>457.8</v>
      </c>
      <c r="D2" s="112"/>
      <c r="E2" s="112"/>
      <c r="F2" s="112"/>
      <c r="G2" s="115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27" ht="15.75">
      <c r="A3" s="111"/>
      <c r="B3" s="112"/>
      <c r="C3" s="116" t="s">
        <v>14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1:27" ht="15.75">
      <c r="A4" s="111"/>
      <c r="B4" s="112"/>
      <c r="C4" s="116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7" ht="15.75">
      <c r="A5" s="117" t="s">
        <v>15</v>
      </c>
      <c r="B5" s="118"/>
      <c r="C5" s="118">
        <v>0</v>
      </c>
      <c r="D5" s="118">
        <v>1</v>
      </c>
      <c r="E5" s="118">
        <v>2</v>
      </c>
      <c r="F5" s="118">
        <v>3</v>
      </c>
      <c r="G5" s="118">
        <v>4</v>
      </c>
      <c r="H5" s="118">
        <v>5</v>
      </c>
      <c r="I5" s="118">
        <v>6</v>
      </c>
      <c r="J5" s="118">
        <v>7</v>
      </c>
      <c r="K5" s="118">
        <v>8</v>
      </c>
      <c r="L5" s="118">
        <v>9</v>
      </c>
      <c r="M5" s="118">
        <v>10</v>
      </c>
      <c r="N5" s="118">
        <v>11</v>
      </c>
      <c r="O5" s="118">
        <v>12</v>
      </c>
      <c r="P5" s="118">
        <v>13</v>
      </c>
      <c r="Q5" s="118">
        <v>14</v>
      </c>
      <c r="R5" s="118">
        <v>15</v>
      </c>
      <c r="S5" s="118">
        <v>16</v>
      </c>
      <c r="T5" s="118">
        <v>17</v>
      </c>
      <c r="U5" s="118">
        <v>18</v>
      </c>
      <c r="V5" s="118">
        <v>19</v>
      </c>
    </row>
    <row r="6" spans="1:27" ht="15.75">
      <c r="A6" s="119" t="s">
        <v>16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</row>
    <row r="7" spans="1:27" ht="15.75">
      <c r="A7" s="121"/>
      <c r="B7" s="120">
        <f>-Sheet3!C15</f>
        <v>-320455515.76989722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</row>
    <row r="8" spans="1:27" ht="15.75">
      <c r="A8" s="122" t="s">
        <v>17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</row>
    <row r="9" spans="1:27" ht="31.5">
      <c r="A9" s="124" t="s">
        <v>164</v>
      </c>
      <c r="B9" s="123"/>
      <c r="C9" s="123"/>
      <c r="D9" s="123"/>
      <c r="E9" s="123"/>
      <c r="F9" s="123">
        <f>2600*350*0.6*C2</f>
        <v>249958800</v>
      </c>
      <c r="G9" s="123">
        <f>350*2600*C2*1.03</f>
        <v>429095940</v>
      </c>
      <c r="H9" s="123">
        <f>G9*1.03</f>
        <v>441968818.19999999</v>
      </c>
      <c r="I9" s="123">
        <f t="shared" ref="I9:V9" si="0">H9*1.03</f>
        <v>455227882.74599999</v>
      </c>
      <c r="J9" s="123">
        <f t="shared" si="0"/>
        <v>468884719.22838002</v>
      </c>
      <c r="K9" s="123">
        <f t="shared" si="0"/>
        <v>482951260.80523145</v>
      </c>
      <c r="L9" s="123">
        <f t="shared" si="0"/>
        <v>497439798.62938839</v>
      </c>
      <c r="M9" s="123">
        <f t="shared" si="0"/>
        <v>512362992.58827007</v>
      </c>
      <c r="N9" s="123">
        <f t="shared" si="0"/>
        <v>527733882.36591816</v>
      </c>
      <c r="O9" s="123">
        <f t="shared" si="0"/>
        <v>543565898.8368957</v>
      </c>
      <c r="P9" s="123">
        <f t="shared" si="0"/>
        <v>559872875.80200255</v>
      </c>
      <c r="Q9" s="123">
        <f t="shared" si="0"/>
        <v>576669062.07606268</v>
      </c>
      <c r="R9" s="123">
        <f t="shared" si="0"/>
        <v>593969133.9383446</v>
      </c>
      <c r="S9" s="123">
        <f t="shared" si="0"/>
        <v>611788207.95649493</v>
      </c>
      <c r="T9" s="123">
        <f t="shared" si="0"/>
        <v>630141854.19518983</v>
      </c>
      <c r="U9" s="123">
        <f t="shared" si="0"/>
        <v>649046109.82104552</v>
      </c>
      <c r="V9" s="123">
        <f t="shared" si="0"/>
        <v>668517493.11567688</v>
      </c>
    </row>
    <row r="10" spans="1:27" s="29" customFormat="1" ht="31.5">
      <c r="A10" s="125" t="s">
        <v>317</v>
      </c>
      <c r="B10" s="123"/>
      <c r="C10" s="123">
        <v>0</v>
      </c>
      <c r="D10" s="123">
        <v>0</v>
      </c>
      <c r="E10" s="123">
        <f t="shared" ref="E10:V10" si="1">1.03*D10</f>
        <v>0</v>
      </c>
      <c r="F10" s="123">
        <f>100*70*0.6*350*1.092727</f>
        <v>1606308.69</v>
      </c>
      <c r="G10" s="123">
        <f>100*70*350*1.1255</f>
        <v>2757475</v>
      </c>
      <c r="H10" s="123">
        <f t="shared" si="1"/>
        <v>2840199.25</v>
      </c>
      <c r="I10" s="123">
        <f t="shared" si="1"/>
        <v>2925405.2275</v>
      </c>
      <c r="J10" s="123">
        <f t="shared" si="1"/>
        <v>3013167.384325</v>
      </c>
      <c r="K10" s="123">
        <f t="shared" si="1"/>
        <v>3103562.40585475</v>
      </c>
      <c r="L10" s="123">
        <f t="shared" si="1"/>
        <v>3196669.2780303927</v>
      </c>
      <c r="M10" s="123">
        <f t="shared" si="1"/>
        <v>3292569.3563713045</v>
      </c>
      <c r="N10" s="123">
        <f t="shared" si="1"/>
        <v>3391346.4370624437</v>
      </c>
      <c r="O10" s="123">
        <f t="shared" si="1"/>
        <v>3493086.8301743171</v>
      </c>
      <c r="P10" s="123">
        <f t="shared" si="1"/>
        <v>3597879.4350795466</v>
      </c>
      <c r="Q10" s="123">
        <f t="shared" si="1"/>
        <v>3705815.818131933</v>
      </c>
      <c r="R10" s="123">
        <f t="shared" si="1"/>
        <v>3816990.292675891</v>
      </c>
      <c r="S10" s="123">
        <f t="shared" si="1"/>
        <v>3931500.001456168</v>
      </c>
      <c r="T10" s="123">
        <f t="shared" si="1"/>
        <v>4049445.0014998531</v>
      </c>
      <c r="U10" s="123">
        <f t="shared" si="1"/>
        <v>4170928.3515448486</v>
      </c>
      <c r="V10" s="123">
        <f t="shared" si="1"/>
        <v>4296056.2020911938</v>
      </c>
    </row>
    <row r="11" spans="1:27" ht="15.75">
      <c r="A11" s="126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29"/>
      <c r="X11" s="29"/>
      <c r="Y11" s="29"/>
      <c r="Z11" s="29"/>
      <c r="AA11" s="29"/>
    </row>
    <row r="12" spans="1:27" ht="15.75">
      <c r="A12" s="127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</row>
    <row r="13" spans="1:27" ht="15.75">
      <c r="A13" s="122" t="s">
        <v>20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</row>
    <row r="14" spans="1:27" s="33" customFormat="1" ht="15.75">
      <c r="A14" s="122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</row>
    <row r="15" spans="1:27" s="33" customFormat="1" ht="15.75">
      <c r="A15" s="122" t="s">
        <v>81</v>
      </c>
      <c r="B15" s="123"/>
      <c r="C15" s="123">
        <f>Sheet3!A8*0.1</f>
        <v>18247549.640000001</v>
      </c>
      <c r="D15" s="123">
        <f>Sheet3!A8*0.5</f>
        <v>91237748.200000003</v>
      </c>
      <c r="E15" s="123">
        <f>Sheet3!A8*0.3</f>
        <v>54742648.920000002</v>
      </c>
      <c r="F15" s="123">
        <f>Sheet3!A8*0.1</f>
        <v>18247549.640000001</v>
      </c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</row>
    <row r="16" spans="1:27" s="33" customFormat="1" ht="15.75">
      <c r="A16" s="122" t="s">
        <v>82</v>
      </c>
      <c r="B16" s="123"/>
      <c r="C16" s="123">
        <f>Sheet3!A8*0.1</f>
        <v>18247549.640000001</v>
      </c>
      <c r="D16" s="123">
        <f>Sheet3!A8*0.05</f>
        <v>9123774.8200000003</v>
      </c>
      <c r="E16" s="123">
        <f>Sheet3!A8*0.05</f>
        <v>9123774.8200000003</v>
      </c>
      <c r="F16" s="123">
        <f>C16/0.1*0.05</f>
        <v>9123774.8200000003</v>
      </c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</row>
    <row r="17" spans="1:27" s="33" customFormat="1" ht="15.75">
      <c r="A17" s="122" t="s">
        <v>83</v>
      </c>
      <c r="B17" s="123"/>
      <c r="C17" s="123">
        <f>Sheet3!C13*0.1</f>
        <v>3649509.9280000003</v>
      </c>
      <c r="D17" s="123">
        <f>Sheet3!C13*0.3</f>
        <v>10948529.784</v>
      </c>
      <c r="E17" s="128">
        <f>Sheet3!C13-C17-D17</f>
        <v>21897059.568000004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</row>
    <row r="18" spans="1:27" s="33" customFormat="1" ht="15.75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</row>
    <row r="19" spans="1:27" ht="15.75">
      <c r="A19" s="129" t="s">
        <v>22</v>
      </c>
      <c r="B19" s="123">
        <f>B7</f>
        <v>-320455515.76989722</v>
      </c>
      <c r="C19" s="123">
        <v>0</v>
      </c>
      <c r="D19" s="123">
        <f t="shared" ref="D19:V19" si="2">PMT(8%,19,$B$19,0,D5)</f>
        <v>30896548.676866326</v>
      </c>
      <c r="E19" s="123">
        <f t="shared" si="2"/>
        <v>30896548.676866326</v>
      </c>
      <c r="F19" s="123">
        <f t="shared" si="2"/>
        <v>30896548.676866326</v>
      </c>
      <c r="G19" s="123">
        <f t="shared" si="2"/>
        <v>30896548.676866326</v>
      </c>
      <c r="H19" s="123">
        <f t="shared" si="2"/>
        <v>30896548.676866326</v>
      </c>
      <c r="I19" s="123">
        <f t="shared" si="2"/>
        <v>30896548.676866326</v>
      </c>
      <c r="J19" s="123">
        <f t="shared" si="2"/>
        <v>30896548.676866326</v>
      </c>
      <c r="K19" s="123">
        <f t="shared" si="2"/>
        <v>30896548.676866326</v>
      </c>
      <c r="L19" s="123">
        <f t="shared" si="2"/>
        <v>30896548.676866326</v>
      </c>
      <c r="M19" s="123">
        <f t="shared" si="2"/>
        <v>30896548.676866326</v>
      </c>
      <c r="N19" s="123">
        <f t="shared" si="2"/>
        <v>30896548.676866326</v>
      </c>
      <c r="O19" s="123">
        <f t="shared" si="2"/>
        <v>30896548.676866326</v>
      </c>
      <c r="P19" s="123">
        <f t="shared" si="2"/>
        <v>30896548.676866326</v>
      </c>
      <c r="Q19" s="123">
        <f t="shared" si="2"/>
        <v>30896548.676866326</v>
      </c>
      <c r="R19" s="123">
        <f t="shared" si="2"/>
        <v>30896548.676866326</v>
      </c>
      <c r="S19" s="123">
        <f t="shared" si="2"/>
        <v>30896548.676866326</v>
      </c>
      <c r="T19" s="123">
        <f t="shared" si="2"/>
        <v>30896548.676866326</v>
      </c>
      <c r="U19" s="123">
        <f t="shared" si="2"/>
        <v>30896548.676866326</v>
      </c>
      <c r="V19" s="123">
        <f t="shared" si="2"/>
        <v>30896548.676866326</v>
      </c>
      <c r="W19" s="110"/>
      <c r="X19" s="11"/>
      <c r="Y19" s="11"/>
      <c r="Z19" s="11"/>
      <c r="AA19" s="11"/>
    </row>
    <row r="20" spans="1:27" ht="15.75">
      <c r="A20" s="129" t="s">
        <v>94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1"/>
      <c r="X20" s="11"/>
      <c r="Y20" s="11"/>
      <c r="Z20" s="11"/>
      <c r="AA20" s="11"/>
    </row>
    <row r="21" spans="1:27" ht="15.75">
      <c r="A21" s="129" t="s">
        <v>24</v>
      </c>
      <c r="B21" s="123"/>
      <c r="C21" s="123">
        <v>0</v>
      </c>
      <c r="D21" s="123">
        <v>0</v>
      </c>
      <c r="E21" s="123">
        <v>0</v>
      </c>
      <c r="F21" s="123">
        <f>G21*0.6*1.092727/1.1255</f>
        <v>1229242.5030624482</v>
      </c>
      <c r="G21" s="123">
        <f>1874885.04*1.1255</f>
        <v>2110183.11252</v>
      </c>
      <c r="H21" s="123">
        <f t="shared" ref="H21:V21" si="3">1.03*G21</f>
        <v>2173488.6058955998</v>
      </c>
      <c r="I21" s="123">
        <f t="shared" si="3"/>
        <v>2238693.264072468</v>
      </c>
      <c r="J21" s="123">
        <f t="shared" si="3"/>
        <v>2305854.061994642</v>
      </c>
      <c r="K21" s="123">
        <f t="shared" si="3"/>
        <v>2375029.6838544812</v>
      </c>
      <c r="L21" s="123">
        <f t="shared" si="3"/>
        <v>2446280.5743701155</v>
      </c>
      <c r="M21" s="123">
        <f t="shared" si="3"/>
        <v>2519668.9916012189</v>
      </c>
      <c r="N21" s="123">
        <f t="shared" si="3"/>
        <v>2595259.0613492555</v>
      </c>
      <c r="O21" s="123">
        <f t="shared" si="3"/>
        <v>2673116.8331897333</v>
      </c>
      <c r="P21" s="123">
        <f t="shared" si="3"/>
        <v>2753310.3381854254</v>
      </c>
      <c r="Q21" s="123">
        <f t="shared" si="3"/>
        <v>2835909.6483309884</v>
      </c>
      <c r="R21" s="123">
        <f t="shared" si="3"/>
        <v>2920986.9377809181</v>
      </c>
      <c r="S21" s="123">
        <f t="shared" si="3"/>
        <v>3008616.5459143459</v>
      </c>
      <c r="T21" s="123">
        <f t="shared" si="3"/>
        <v>3098875.0422917763</v>
      </c>
      <c r="U21" s="123">
        <f t="shared" si="3"/>
        <v>3191841.2935605296</v>
      </c>
      <c r="V21" s="123">
        <f t="shared" si="3"/>
        <v>3287596.5323673454</v>
      </c>
      <c r="W21" s="9"/>
      <c r="X21" s="9"/>
      <c r="Y21" s="9"/>
      <c r="Z21" s="9"/>
      <c r="AA21" s="9"/>
    </row>
    <row r="22" spans="1:27" ht="15.75">
      <c r="A22" s="129" t="s">
        <v>25</v>
      </c>
      <c r="B22" s="123"/>
      <c r="C22" s="123">
        <v>0</v>
      </c>
      <c r="D22" s="123">
        <v>0</v>
      </c>
      <c r="E22" s="123">
        <v>0</v>
      </c>
      <c r="F22" s="123">
        <f>Utilities!I21*0.6*1.092727</f>
        <v>11647984.605807139</v>
      </c>
      <c r="G22" s="123">
        <f>Utilities!I21*1.1255</f>
        <v>19995550.388822235</v>
      </c>
      <c r="H22" s="123">
        <f t="shared" ref="H22:V22" si="4">1.03*G22</f>
        <v>20595416.900486901</v>
      </c>
      <c r="I22" s="123">
        <f t="shared" si="4"/>
        <v>21213279.407501508</v>
      </c>
      <c r="J22" s="123">
        <f t="shared" si="4"/>
        <v>21849677.789726552</v>
      </c>
      <c r="K22" s="123">
        <f t="shared" si="4"/>
        <v>22505168.12341835</v>
      </c>
      <c r="L22" s="123">
        <f t="shared" si="4"/>
        <v>23180323.1671209</v>
      </c>
      <c r="M22" s="123">
        <f t="shared" si="4"/>
        <v>23875732.862134527</v>
      </c>
      <c r="N22" s="123">
        <f t="shared" si="4"/>
        <v>24592004.847998563</v>
      </c>
      <c r="O22" s="123">
        <f t="shared" si="4"/>
        <v>25329764.99343852</v>
      </c>
      <c r="P22" s="123">
        <f t="shared" si="4"/>
        <v>26089657.943241674</v>
      </c>
      <c r="Q22" s="123">
        <f t="shared" si="4"/>
        <v>26872347.681538925</v>
      </c>
      <c r="R22" s="123">
        <f t="shared" si="4"/>
        <v>27678518.111985095</v>
      </c>
      <c r="S22" s="123">
        <f t="shared" si="4"/>
        <v>28508873.65534465</v>
      </c>
      <c r="T22" s="123">
        <f t="shared" si="4"/>
        <v>29364139.86500499</v>
      </c>
      <c r="U22" s="123">
        <f t="shared" si="4"/>
        <v>30245064.060955141</v>
      </c>
      <c r="V22" s="123">
        <f t="shared" si="4"/>
        <v>31152415.982783794</v>
      </c>
      <c r="W22" s="9"/>
      <c r="X22" s="9"/>
      <c r="Y22" s="9"/>
      <c r="Z22" s="9"/>
      <c r="AA22" s="9"/>
    </row>
    <row r="23" spans="1:27" ht="15.75">
      <c r="A23" s="129" t="s">
        <v>93</v>
      </c>
      <c r="B23" s="123"/>
      <c r="C23" s="123"/>
      <c r="D23" s="123"/>
      <c r="E23" s="123"/>
      <c r="F23" s="123">
        <f>2474416*0.6*1.092727</f>
        <v>1622316.7034591998</v>
      </c>
      <c r="G23" s="123">
        <f>F23/0.6*1.03</f>
        <v>2784977.0076049599</v>
      </c>
      <c r="H23" s="123">
        <f>G23*1.03</f>
        <v>2868526.3178331088</v>
      </c>
      <c r="I23" s="123">
        <f t="shared" ref="I23:V23" si="5">H23*1.03</f>
        <v>2954582.1073681023</v>
      </c>
      <c r="J23" s="123">
        <f t="shared" si="5"/>
        <v>3043219.5705891456</v>
      </c>
      <c r="K23" s="123">
        <f t="shared" si="5"/>
        <v>3134516.1577068199</v>
      </c>
      <c r="L23" s="123">
        <f t="shared" si="5"/>
        <v>3228551.6424380247</v>
      </c>
      <c r="M23" s="123">
        <f t="shared" si="5"/>
        <v>3325408.1917111655</v>
      </c>
      <c r="N23" s="123">
        <f t="shared" si="5"/>
        <v>3425170.4374625008</v>
      </c>
      <c r="O23" s="123">
        <f t="shared" si="5"/>
        <v>3527925.5505863759</v>
      </c>
      <c r="P23" s="123">
        <f t="shared" si="5"/>
        <v>3633763.3171039671</v>
      </c>
      <c r="Q23" s="123">
        <f t="shared" si="5"/>
        <v>3742776.216617086</v>
      </c>
      <c r="R23" s="123">
        <f t="shared" si="5"/>
        <v>3855059.5031155986</v>
      </c>
      <c r="S23" s="123">
        <f t="shared" si="5"/>
        <v>3970711.2882090667</v>
      </c>
      <c r="T23" s="123">
        <f t="shared" si="5"/>
        <v>4089832.6268553389</v>
      </c>
      <c r="U23" s="123">
        <f t="shared" si="5"/>
        <v>4212527.6056609992</v>
      </c>
      <c r="V23" s="123">
        <f t="shared" si="5"/>
        <v>4338903.4338308293</v>
      </c>
      <c r="W23" s="9"/>
      <c r="X23" s="9"/>
      <c r="Y23" s="9"/>
      <c r="Z23" s="9"/>
      <c r="AA23" s="9"/>
    </row>
    <row r="24" spans="1:27" ht="15.75">
      <c r="A24" s="127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</row>
    <row r="25" spans="1:27" ht="15.75">
      <c r="A25" s="127" t="s">
        <v>27</v>
      </c>
      <c r="B25" s="123"/>
      <c r="C25" s="123">
        <v>0</v>
      </c>
      <c r="D25" s="123">
        <f>(-B7)*1/19*2</f>
        <v>33732159.554726027</v>
      </c>
      <c r="E25" s="123">
        <f>(-B7-D25)*(1/19)*2</f>
        <v>30181405.917386442</v>
      </c>
      <c r="F25" s="123">
        <f>(-B7-D25-E25)*(1/19)*2</f>
        <v>27004415.820819449</v>
      </c>
      <c r="G25" s="123">
        <f>(-B7-D25-E25-F25)*(1/19)*2</f>
        <v>24161845.734417401</v>
      </c>
      <c r="H25" s="123">
        <f>(-B7-C25-D25-E25-F25-G25)*(1/19)*2</f>
        <v>21618493.551847149</v>
      </c>
      <c r="I25" s="123">
        <f>(-B7-C25-D25-E25-F25-G25-H25)*(1/19)*2</f>
        <v>19342862.651652712</v>
      </c>
      <c r="J25" s="123">
        <f>(-B7-C25-D25-E25-F25-G25-H25-I25)*(1/19)*2</f>
        <v>17306771.846215583</v>
      </c>
      <c r="K25" s="123">
        <f>(-B7-C25-D25-E25-F25-G25-H25-I25-J25)*(1/19)*2</f>
        <v>15485006.388719207</v>
      </c>
      <c r="L25" s="123">
        <f>(-B7-C25-D25-E25-F25-G25-H25-I25-J25-K25)*(1/19)*2</f>
        <v>13855005.716222448</v>
      </c>
      <c r="M25" s="123">
        <f>(-B7-C25-D25-E25-F25-G25-H25-I25-J25-K25-L25)*(1/19)*2</f>
        <v>12396584.061883243</v>
      </c>
      <c r="N25" s="123">
        <f>(-B7-C25-D25-E25-F25-G25-H25-I25-J25-K25-L25-M25)*(1/19)*2</f>
        <v>11091680.47642185</v>
      </c>
      <c r="O25" s="123">
        <f>(-B7-C25-D25-E25-F25-G25-H25-I25-J25-K25-L25-M25-N25)*(1/19)*2</f>
        <v>9924135.163114287</v>
      </c>
      <c r="P25" s="123">
        <f>(-B7-C25-D25-E25-F25-G25-H25-I25-J25-K25-L25-M25-N25-O25)*(1/19)*2</f>
        <v>8879489.356470678</v>
      </c>
      <c r="Q25" s="123">
        <f>(-B7-C25-D25-E25-F25-G25-H25-I25-J25-K25-L25-M25-N25-O25-P25)*(1/19)*2</f>
        <v>7944806.2663158709</v>
      </c>
      <c r="R25" s="123">
        <f>(-B7-C25-D25-E25-F25-G25-H25-I25-J25-K25-L25-M25-N25-O25-P25-Q25)*(1/19)*2</f>
        <v>7108510.8698615683</v>
      </c>
      <c r="S25" s="123">
        <f>(-B7-C25-D25-E25-F25-G25-H25-I25-J25-K25-L25-M25-N25-O25-P25-Q25-R25)*(1/19)*2</f>
        <v>6360246.5677708769</v>
      </c>
      <c r="T25" s="123">
        <f>(-B7-C25-D25-E25-F25-G25-H25-I25-J25-K25-L25-M25-N25-O25-P25-Q25-R25-S25)*(1/19)*2</f>
        <v>5690746.9290581532</v>
      </c>
      <c r="U25" s="123">
        <f>(-B7-C25-D25-E25-F25-G25-H25-I25-J25-K25-L25-M25-N25-O25-P25-Q25-R25-S25-T25)*(1/19)*2</f>
        <v>5091720.9365257164</v>
      </c>
      <c r="V25" s="123">
        <f>(-B7-C25-D25-E25-F25-G25-H25-I25-J25-K25-L25-M25-N25-O25-P25-Q25-R25-S25-T25-U25)*(1/19)*2</f>
        <v>4555750.3116282728</v>
      </c>
      <c r="W25" s="47"/>
      <c r="X25" s="9"/>
      <c r="Y25" s="9"/>
      <c r="Z25" s="9"/>
      <c r="AA25" s="9"/>
    </row>
    <row r="26" spans="1:27" ht="47.25">
      <c r="A26" s="126" t="s">
        <v>66</v>
      </c>
      <c r="B26" s="123"/>
      <c r="C26" s="123">
        <v>0</v>
      </c>
      <c r="D26" s="123">
        <v>0</v>
      </c>
      <c r="E26" s="123">
        <f>D26*1.03</f>
        <v>0</v>
      </c>
      <c r="F26" s="123">
        <f>labor!D18*1.092727</f>
        <v>6901620.0229200004</v>
      </c>
      <c r="G26" s="123">
        <f>F26*1.03</f>
        <v>7108668.6236076001</v>
      </c>
      <c r="H26" s="123">
        <f t="shared" ref="H26:V26" si="6">G26*1.03</f>
        <v>7321928.6823158283</v>
      </c>
      <c r="I26" s="123">
        <f t="shared" si="6"/>
        <v>7541586.5427853037</v>
      </c>
      <c r="J26" s="123">
        <f t="shared" si="6"/>
        <v>7767834.1390688634</v>
      </c>
      <c r="K26" s="123">
        <f t="shared" si="6"/>
        <v>8000869.1632409291</v>
      </c>
      <c r="L26" s="123">
        <f t="shared" si="6"/>
        <v>8240895.2381381569</v>
      </c>
      <c r="M26" s="123">
        <f t="shared" si="6"/>
        <v>8488122.0952823013</v>
      </c>
      <c r="N26" s="123">
        <f t="shared" si="6"/>
        <v>8742765.7581407707</v>
      </c>
      <c r="O26" s="123">
        <f t="shared" si="6"/>
        <v>9005048.7308849934</v>
      </c>
      <c r="P26" s="123">
        <f t="shared" si="6"/>
        <v>9275200.1928115431</v>
      </c>
      <c r="Q26" s="123">
        <f t="shared" si="6"/>
        <v>9553456.1985958889</v>
      </c>
      <c r="R26" s="123">
        <f t="shared" si="6"/>
        <v>9840059.8845537659</v>
      </c>
      <c r="S26" s="123">
        <f t="shared" si="6"/>
        <v>10135261.681090379</v>
      </c>
      <c r="T26" s="123">
        <f t="shared" si="6"/>
        <v>10439319.53152309</v>
      </c>
      <c r="U26" s="123">
        <f t="shared" si="6"/>
        <v>10752499.117468784</v>
      </c>
      <c r="V26" s="123">
        <f t="shared" si="6"/>
        <v>11075074.090992847</v>
      </c>
      <c r="W26" s="9"/>
      <c r="X26" s="9"/>
      <c r="Y26" s="9"/>
      <c r="Z26" s="9"/>
      <c r="AA26" s="9"/>
    </row>
    <row r="27" spans="1:27" ht="15.75">
      <c r="A27" s="127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9"/>
      <c r="X27" s="9"/>
      <c r="Y27" s="9"/>
    </row>
    <row r="28" spans="1:27" ht="31.5">
      <c r="A28" s="126" t="s">
        <v>170</v>
      </c>
      <c r="B28" s="123"/>
      <c r="C28" s="123">
        <v>0</v>
      </c>
      <c r="D28" s="123">
        <v>0</v>
      </c>
      <c r="E28" s="123">
        <f>1.03*D28</f>
        <v>0</v>
      </c>
      <c r="F28" s="123">
        <f>-B7*0.03*0.6*1.092727</f>
        <v>6303067.098852464</v>
      </c>
      <c r="G28" s="123">
        <f>-B7*0.03*1.1255</f>
        <v>10820180.48997058</v>
      </c>
      <c r="H28" s="123">
        <f t="shared" ref="H28:V28" si="7">1.03*G28</f>
        <v>11144785.904669698</v>
      </c>
      <c r="I28" s="123">
        <f t="shared" si="7"/>
        <v>11479129.481809789</v>
      </c>
      <c r="J28" s="123">
        <f t="shared" si="7"/>
        <v>11823503.366264082</v>
      </c>
      <c r="K28" s="123">
        <f t="shared" si="7"/>
        <v>12178208.467252005</v>
      </c>
      <c r="L28" s="123">
        <f t="shared" si="7"/>
        <v>12543554.721269565</v>
      </c>
      <c r="M28" s="123">
        <f t="shared" si="7"/>
        <v>12919861.362907652</v>
      </c>
      <c r="N28" s="123">
        <f t="shared" si="7"/>
        <v>13307457.203794882</v>
      </c>
      <c r="O28" s="123">
        <f t="shared" si="7"/>
        <v>13706680.919908728</v>
      </c>
      <c r="P28" s="123">
        <f t="shared" si="7"/>
        <v>14117881.34750599</v>
      </c>
      <c r="Q28" s="123">
        <f t="shared" si="7"/>
        <v>14541417.78793117</v>
      </c>
      <c r="R28" s="123">
        <f t="shared" si="7"/>
        <v>14977660.321569106</v>
      </c>
      <c r="S28" s="123">
        <f t="shared" si="7"/>
        <v>15426990.13121618</v>
      </c>
      <c r="T28" s="123">
        <f t="shared" si="7"/>
        <v>15889799.835152665</v>
      </c>
      <c r="U28" s="123">
        <f t="shared" si="7"/>
        <v>16366493.830207245</v>
      </c>
      <c r="V28" s="123">
        <f t="shared" si="7"/>
        <v>16857488.645113464</v>
      </c>
      <c r="W28" s="9"/>
      <c r="X28" s="9"/>
      <c r="Y28" s="9"/>
      <c r="Z28" s="9"/>
      <c r="AA28" s="9"/>
    </row>
    <row r="29" spans="1:27" ht="15.75">
      <c r="A29" s="127" t="s">
        <v>0</v>
      </c>
      <c r="B29" s="123"/>
      <c r="C29" s="123">
        <v>0</v>
      </c>
      <c r="D29" s="123">
        <v>0</v>
      </c>
      <c r="E29" s="123">
        <v>0</v>
      </c>
      <c r="F29" s="123">
        <f>'Raw Materials'!H5*1.092727*0.6</f>
        <v>61296739.610399999</v>
      </c>
      <c r="G29" s="48">
        <f>'Raw Materials'!H5*1.1255</f>
        <v>105225246</v>
      </c>
      <c r="H29" s="123">
        <f t="shared" ref="H29:V29" si="8">1.03*G29</f>
        <v>108382003.38000001</v>
      </c>
      <c r="I29" s="123">
        <f t="shared" si="8"/>
        <v>111633463.48140001</v>
      </c>
      <c r="J29" s="123">
        <f t="shared" si="8"/>
        <v>114982467.38584201</v>
      </c>
      <c r="K29" s="123">
        <f t="shared" si="8"/>
        <v>118431941.40741727</v>
      </c>
      <c r="L29" s="123">
        <f>(1.03*K29)+(1.03^6*19840000)</f>
        <v>145674897.21277514</v>
      </c>
      <c r="M29" s="123">
        <f>1.03*(L29-(1.03^6*19840000))</f>
        <v>125644446.63912898</v>
      </c>
      <c r="N29" s="123">
        <f t="shared" si="8"/>
        <v>129413780.03830285</v>
      </c>
      <c r="O29" s="123">
        <f t="shared" si="8"/>
        <v>133296193.43945195</v>
      </c>
      <c r="P29" s="123">
        <f t="shared" si="8"/>
        <v>137295079.24263552</v>
      </c>
      <c r="Q29" s="123">
        <f>1.03*P29+((1.03)^14*19840000)</f>
        <v>171423711.76104</v>
      </c>
      <c r="R29" s="123">
        <f>1.03*(Q29-(19840000*(1.03)^14))</f>
        <v>145656349.56851202</v>
      </c>
      <c r="S29" s="128">
        <f>1.03*(R29)</f>
        <v>150026040.05556738</v>
      </c>
      <c r="T29" s="123">
        <f t="shared" si="8"/>
        <v>154526821.25723439</v>
      </c>
      <c r="U29" s="123">
        <f t="shared" si="8"/>
        <v>159162625.89495143</v>
      </c>
      <c r="V29" s="123">
        <f t="shared" si="8"/>
        <v>163937504.67179999</v>
      </c>
      <c r="W29" s="9"/>
      <c r="X29" s="9"/>
      <c r="Y29" s="9"/>
    </row>
    <row r="30" spans="1:27" ht="15.75">
      <c r="A30" s="127" t="s">
        <v>177</v>
      </c>
      <c r="B30" s="123"/>
      <c r="C30" s="123"/>
      <c r="D30" s="123"/>
      <c r="E30" s="123"/>
      <c r="F30" s="123">
        <f>30029188.070647</f>
        <v>30029188.070647001</v>
      </c>
      <c r="G30" s="123">
        <f>Table1[[#Totals],[Cost 4th Year]]</f>
        <v>12281885.565833334</v>
      </c>
      <c r="H30" s="123">
        <f>G30*1.03</f>
        <v>12650342.132808335</v>
      </c>
      <c r="I30" s="123">
        <f t="shared" ref="I30:V30" si="9">H30*1.03</f>
        <v>13029852.396792585</v>
      </c>
      <c r="J30" s="123">
        <f t="shared" si="9"/>
        <v>13420747.968696363</v>
      </c>
      <c r="K30" s="123">
        <f t="shared" si="9"/>
        <v>13823370.407757254</v>
      </c>
      <c r="L30" s="123">
        <f t="shared" si="9"/>
        <v>14238071.519989973</v>
      </c>
      <c r="M30" s="123">
        <f t="shared" si="9"/>
        <v>14665213.665589672</v>
      </c>
      <c r="N30" s="123">
        <f t="shared" si="9"/>
        <v>15105170.075557362</v>
      </c>
      <c r="O30" s="123">
        <f t="shared" si="9"/>
        <v>15558325.177824084</v>
      </c>
      <c r="P30" s="123">
        <f t="shared" si="9"/>
        <v>16025074.933158807</v>
      </c>
      <c r="Q30" s="123">
        <f t="shared" si="9"/>
        <v>16505827.181153571</v>
      </c>
      <c r="R30" s="123">
        <f t="shared" si="9"/>
        <v>17001001.996588178</v>
      </c>
      <c r="S30" s="123">
        <f t="shared" si="9"/>
        <v>17511032.056485824</v>
      </c>
      <c r="T30" s="123">
        <f t="shared" si="9"/>
        <v>18036363.0181804</v>
      </c>
      <c r="U30" s="123">
        <f t="shared" si="9"/>
        <v>18577453.908725813</v>
      </c>
      <c r="V30" s="123">
        <f t="shared" si="9"/>
        <v>19134777.525987588</v>
      </c>
      <c r="W30" s="10"/>
      <c r="X30" s="10"/>
      <c r="Y30" s="10"/>
      <c r="Z30" s="10"/>
      <c r="AA30" s="10"/>
    </row>
    <row r="31" spans="1:27" ht="15.75">
      <c r="A31" s="122" t="s">
        <v>31</v>
      </c>
      <c r="B31" s="123"/>
      <c r="C31" s="130">
        <f>SUM(C15:C17)</f>
        <v>40144609.208000004</v>
      </c>
      <c r="D31" s="130">
        <f>SUM(D15:D25)</f>
        <v>175938761.03559238</v>
      </c>
      <c r="E31" s="130">
        <f>SUM(E15:E25)</f>
        <v>146841437.90225276</v>
      </c>
      <c r="F31" s="130">
        <f>SUM(F15:F30)</f>
        <v>204302447.57283404</v>
      </c>
      <c r="G31" s="130">
        <f>SUM(G19:G30)</f>
        <v>215385085.59964246</v>
      </c>
      <c r="H31" s="130">
        <f t="shared" ref="H31:U31" si="10">SUM(H19:H30)</f>
        <v>217651534.15272295</v>
      </c>
      <c r="I31" s="130">
        <f t="shared" si="10"/>
        <v>220329998.01024884</v>
      </c>
      <c r="J31" s="130">
        <f t="shared" si="10"/>
        <v>223396624.80526358</v>
      </c>
      <c r="K31" s="130">
        <f t="shared" si="10"/>
        <v>226830658.47623262</v>
      </c>
      <c r="L31" s="130">
        <f t="shared" si="10"/>
        <v>254304128.46919066</v>
      </c>
      <c r="M31" s="130">
        <f t="shared" si="10"/>
        <v>234731586.54710507</v>
      </c>
      <c r="N31" s="130">
        <f t="shared" si="10"/>
        <v>239169836.57589436</v>
      </c>
      <c r="O31" s="130">
        <f t="shared" si="10"/>
        <v>243917739.48526502</v>
      </c>
      <c r="P31" s="130">
        <f t="shared" si="10"/>
        <v>248966005.34797993</v>
      </c>
      <c r="Q31" s="130">
        <f t="shared" si="10"/>
        <v>284316801.41838986</v>
      </c>
      <c r="R31" s="130">
        <f t="shared" si="10"/>
        <v>259934695.87083256</v>
      </c>
      <c r="S31" s="130">
        <f t="shared" si="10"/>
        <v>265844320.65846506</v>
      </c>
      <c r="T31" s="130">
        <f t="shared" si="10"/>
        <v>272032446.7821672</v>
      </c>
      <c r="U31" s="130">
        <f t="shared" si="10"/>
        <v>278496775.32492197</v>
      </c>
      <c r="V31" s="130">
        <f>SUM(V19:V30)</f>
        <v>285236059.87137043</v>
      </c>
      <c r="W31" s="9"/>
      <c r="X31" s="9"/>
      <c r="Y31" s="9"/>
    </row>
    <row r="32" spans="1:27" ht="15.75">
      <c r="A32" s="127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"/>
      <c r="X32" s="12"/>
      <c r="Y32" s="12"/>
      <c r="Z32" s="12"/>
      <c r="AA32" s="12"/>
    </row>
    <row r="33" spans="1:27" ht="15.75">
      <c r="A33" s="127" t="s">
        <v>32</v>
      </c>
      <c r="B33" s="123"/>
      <c r="C33" s="123">
        <v>0</v>
      </c>
      <c r="D33" s="123">
        <v>0</v>
      </c>
      <c r="E33" s="123">
        <v>0</v>
      </c>
      <c r="F33" s="123">
        <f t="shared" ref="F33:V33" si="11">F9+F11+F10-F31</f>
        <v>47262661.117165953</v>
      </c>
      <c r="G33" s="123">
        <f t="shared" si="11"/>
        <v>216468329.40035754</v>
      </c>
      <c r="H33" s="123">
        <f t="shared" si="11"/>
        <v>227157483.29727703</v>
      </c>
      <c r="I33" s="123">
        <f t="shared" si="11"/>
        <v>237823289.96325117</v>
      </c>
      <c r="J33" s="123">
        <f t="shared" si="11"/>
        <v>248501261.80744147</v>
      </c>
      <c r="K33" s="123">
        <f t="shared" si="11"/>
        <v>259224164.7348536</v>
      </c>
      <c r="L33" s="123">
        <f t="shared" si="11"/>
        <v>246332339.43822813</v>
      </c>
      <c r="M33" s="123">
        <f t="shared" si="11"/>
        <v>280923975.39753628</v>
      </c>
      <c r="N33" s="123">
        <f t="shared" si="11"/>
        <v>291955392.22708625</v>
      </c>
      <c r="O33" s="123">
        <f t="shared" si="11"/>
        <v>303141246.18180501</v>
      </c>
      <c r="P33" s="123">
        <f t="shared" si="11"/>
        <v>314504749.88910222</v>
      </c>
      <c r="Q33" s="123">
        <f t="shared" si="11"/>
        <v>296058076.47580475</v>
      </c>
      <c r="R33" s="123">
        <f t="shared" si="11"/>
        <v>337851428.36018789</v>
      </c>
      <c r="S33" s="123">
        <f t="shared" si="11"/>
        <v>349875387.29948604</v>
      </c>
      <c r="T33" s="123">
        <f t="shared" si="11"/>
        <v>362158852.41452253</v>
      </c>
      <c r="U33" s="123">
        <f t="shared" si="11"/>
        <v>374720262.84766841</v>
      </c>
      <c r="V33" s="123">
        <f t="shared" si="11"/>
        <v>387577489.44639766</v>
      </c>
      <c r="W33" s="12"/>
      <c r="X33" s="12"/>
      <c r="Y33" s="12"/>
      <c r="Z33" s="12"/>
      <c r="AA33" s="12"/>
    </row>
    <row r="34" spans="1:27" ht="15.75">
      <c r="A34" s="127" t="s">
        <v>33</v>
      </c>
      <c r="B34" s="123"/>
      <c r="C34" s="123">
        <f t="shared" ref="C34:V34" si="12">C33*0.4</f>
        <v>0</v>
      </c>
      <c r="D34" s="123">
        <f t="shared" si="12"/>
        <v>0</v>
      </c>
      <c r="E34" s="123">
        <f t="shared" si="12"/>
        <v>0</v>
      </c>
      <c r="F34" s="123">
        <f t="shared" si="12"/>
        <v>18905064.446866382</v>
      </c>
      <c r="G34" s="123">
        <f t="shared" si="12"/>
        <v>86587331.760143027</v>
      </c>
      <c r="H34" s="123">
        <f t="shared" si="12"/>
        <v>90862993.318910822</v>
      </c>
      <c r="I34" s="123">
        <f t="shared" si="12"/>
        <v>95129315.985300481</v>
      </c>
      <c r="J34" s="123">
        <f t="shared" si="12"/>
        <v>99400504.722976595</v>
      </c>
      <c r="K34" s="123">
        <f t="shared" si="12"/>
        <v>103689665.89394145</v>
      </c>
      <c r="L34" s="123">
        <f t="shared" si="12"/>
        <v>98532935.775291264</v>
      </c>
      <c r="M34" s="123">
        <f t="shared" si="12"/>
        <v>112369590.15901452</v>
      </c>
      <c r="N34" s="123">
        <f t="shared" si="12"/>
        <v>116782156.89083451</v>
      </c>
      <c r="O34" s="123">
        <f t="shared" si="12"/>
        <v>121256498.47272201</v>
      </c>
      <c r="P34" s="123">
        <f t="shared" si="12"/>
        <v>125801899.9556409</v>
      </c>
      <c r="Q34" s="123">
        <f t="shared" si="12"/>
        <v>118423230.5903219</v>
      </c>
      <c r="R34" s="123">
        <f t="shared" si="12"/>
        <v>135140571.34407517</v>
      </c>
      <c r="S34" s="123">
        <f t="shared" si="12"/>
        <v>139950154.91979441</v>
      </c>
      <c r="T34" s="123">
        <f t="shared" si="12"/>
        <v>144863540.96580902</v>
      </c>
      <c r="U34" s="123">
        <f t="shared" si="12"/>
        <v>149888105.13906738</v>
      </c>
      <c r="V34" s="123">
        <f t="shared" si="12"/>
        <v>155030995.77855906</v>
      </c>
      <c r="W34" s="9"/>
      <c r="X34" s="9"/>
      <c r="Y34" s="9"/>
    </row>
    <row r="35" spans="1:27" ht="15.75">
      <c r="A35" s="127" t="s">
        <v>34</v>
      </c>
      <c r="B35" s="123"/>
      <c r="C35" s="123">
        <f t="shared" ref="C35:V35" si="13">C33-C34</f>
        <v>0</v>
      </c>
      <c r="D35" s="123">
        <f t="shared" si="13"/>
        <v>0</v>
      </c>
      <c r="E35" s="123">
        <f t="shared" si="13"/>
        <v>0</v>
      </c>
      <c r="F35" s="123">
        <f t="shared" si="13"/>
        <v>28357596.670299571</v>
      </c>
      <c r="G35" s="123">
        <f t="shared" si="13"/>
        <v>129880997.64021452</v>
      </c>
      <c r="H35" s="123">
        <f t="shared" si="13"/>
        <v>136294489.9783662</v>
      </c>
      <c r="I35" s="123">
        <f t="shared" si="13"/>
        <v>142693973.97795069</v>
      </c>
      <c r="J35" s="123">
        <f t="shared" si="13"/>
        <v>149100757.08446488</v>
      </c>
      <c r="K35" s="123">
        <f t="shared" si="13"/>
        <v>155534498.84091216</v>
      </c>
      <c r="L35" s="123">
        <f t="shared" si="13"/>
        <v>147799403.66293687</v>
      </c>
      <c r="M35" s="123">
        <f t="shared" si="13"/>
        <v>168554385.23852175</v>
      </c>
      <c r="N35" s="123">
        <f t="shared" si="13"/>
        <v>175173235.33625174</v>
      </c>
      <c r="O35" s="123">
        <f t="shared" si="13"/>
        <v>181884747.70908302</v>
      </c>
      <c r="P35" s="123">
        <f t="shared" si="13"/>
        <v>188702849.93346131</v>
      </c>
      <c r="Q35" s="123">
        <f t="shared" si="13"/>
        <v>177634845.88548285</v>
      </c>
      <c r="R35" s="123">
        <f t="shared" si="13"/>
        <v>202710857.01611272</v>
      </c>
      <c r="S35" s="123">
        <f t="shared" si="13"/>
        <v>209925232.37969163</v>
      </c>
      <c r="T35" s="123">
        <f t="shared" si="13"/>
        <v>217295311.44871351</v>
      </c>
      <c r="U35" s="123">
        <f t="shared" si="13"/>
        <v>224832157.70860103</v>
      </c>
      <c r="V35" s="123">
        <f t="shared" si="13"/>
        <v>232546493.6678386</v>
      </c>
      <c r="W35" s="9"/>
      <c r="X35" s="9"/>
      <c r="Y35" s="9"/>
    </row>
    <row r="36" spans="1:27" ht="15.75">
      <c r="A36" s="127" t="s">
        <v>35</v>
      </c>
      <c r="B36" s="123"/>
      <c r="C36" s="123">
        <f t="shared" ref="C36:V36" si="14">C25</f>
        <v>0</v>
      </c>
      <c r="D36" s="123">
        <f t="shared" si="14"/>
        <v>33732159.554726027</v>
      </c>
      <c r="E36" s="123">
        <f t="shared" si="14"/>
        <v>30181405.917386442</v>
      </c>
      <c r="F36" s="123">
        <f t="shared" si="14"/>
        <v>27004415.820819449</v>
      </c>
      <c r="G36" s="123">
        <f t="shared" si="14"/>
        <v>24161845.734417401</v>
      </c>
      <c r="H36" s="123">
        <f t="shared" si="14"/>
        <v>21618493.551847149</v>
      </c>
      <c r="I36" s="123">
        <f t="shared" si="14"/>
        <v>19342862.651652712</v>
      </c>
      <c r="J36" s="123">
        <f t="shared" si="14"/>
        <v>17306771.846215583</v>
      </c>
      <c r="K36" s="123">
        <f t="shared" si="14"/>
        <v>15485006.388719207</v>
      </c>
      <c r="L36" s="123">
        <f t="shared" si="14"/>
        <v>13855005.716222448</v>
      </c>
      <c r="M36" s="123">
        <f t="shared" si="14"/>
        <v>12396584.061883243</v>
      </c>
      <c r="N36" s="123">
        <f t="shared" si="14"/>
        <v>11091680.47642185</v>
      </c>
      <c r="O36" s="123">
        <f t="shared" si="14"/>
        <v>9924135.163114287</v>
      </c>
      <c r="P36" s="123">
        <f t="shared" si="14"/>
        <v>8879489.356470678</v>
      </c>
      <c r="Q36" s="123">
        <f t="shared" si="14"/>
        <v>7944806.2663158709</v>
      </c>
      <c r="R36" s="123">
        <f t="shared" si="14"/>
        <v>7108510.8698615683</v>
      </c>
      <c r="S36" s="123">
        <f t="shared" si="14"/>
        <v>6360246.5677708769</v>
      </c>
      <c r="T36" s="123">
        <f t="shared" si="14"/>
        <v>5690746.9290581532</v>
      </c>
      <c r="U36" s="123">
        <f t="shared" si="14"/>
        <v>5091720.9365257164</v>
      </c>
      <c r="V36" s="123">
        <f t="shared" si="14"/>
        <v>4555750.3116282728</v>
      </c>
      <c r="W36" s="9"/>
      <c r="X36" s="9"/>
      <c r="Y36" s="9"/>
    </row>
    <row r="37" spans="1:27" ht="15.75">
      <c r="A37" s="127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9"/>
      <c r="X37" s="9"/>
      <c r="Y37" s="9"/>
      <c r="Z37" s="9"/>
      <c r="AA37" s="9"/>
    </row>
    <row r="38" spans="1:27" ht="31.5">
      <c r="A38" s="126" t="s">
        <v>95</v>
      </c>
      <c r="B38" s="123"/>
      <c r="C38" s="123">
        <f>C33-C31</f>
        <v>-40144609.208000004</v>
      </c>
      <c r="D38" s="123">
        <f>D33-D31</f>
        <v>-175938761.03559238</v>
      </c>
      <c r="E38" s="123">
        <f>E33-E31</f>
        <v>-146841437.90225276</v>
      </c>
      <c r="F38" s="123">
        <f t="shared" ref="F38:V38" si="15">F35+F36</f>
        <v>55362012.49111902</v>
      </c>
      <c r="G38" s="123">
        <f t="shared" si="15"/>
        <v>154042843.37463191</v>
      </c>
      <c r="H38" s="123">
        <f t="shared" si="15"/>
        <v>157912983.53021336</v>
      </c>
      <c r="I38" s="123">
        <f t="shared" si="15"/>
        <v>162036836.62960342</v>
      </c>
      <c r="J38" s="123">
        <f t="shared" si="15"/>
        <v>166407528.93068045</v>
      </c>
      <c r="K38" s="123">
        <f t="shared" si="15"/>
        <v>171019505.22963136</v>
      </c>
      <c r="L38" s="123">
        <f t="shared" si="15"/>
        <v>161654409.3791593</v>
      </c>
      <c r="M38" s="123">
        <f t="shared" si="15"/>
        <v>180950969.300405</v>
      </c>
      <c r="N38" s="123">
        <f t="shared" si="15"/>
        <v>186264915.8126736</v>
      </c>
      <c r="O38" s="123">
        <f t="shared" si="15"/>
        <v>191808882.8721973</v>
      </c>
      <c r="P38" s="123">
        <f t="shared" si="15"/>
        <v>197582339.28993198</v>
      </c>
      <c r="Q38" s="123">
        <f t="shared" si="15"/>
        <v>185579652.15179873</v>
      </c>
      <c r="R38" s="123">
        <f t="shared" si="15"/>
        <v>209819367.88597429</v>
      </c>
      <c r="S38" s="123">
        <f t="shared" si="15"/>
        <v>216285478.9474625</v>
      </c>
      <c r="T38" s="123">
        <f t="shared" si="15"/>
        <v>222986058.37777168</v>
      </c>
      <c r="U38" s="123">
        <f t="shared" si="15"/>
        <v>229923878.64512673</v>
      </c>
      <c r="V38" s="123">
        <f t="shared" si="15"/>
        <v>237102243.97946689</v>
      </c>
      <c r="W38" s="9"/>
      <c r="X38" s="9"/>
      <c r="Y38" s="9"/>
      <c r="Z38" s="9"/>
      <c r="AA38" s="9"/>
    </row>
    <row r="39" spans="1:27" ht="15.75">
      <c r="A39" s="126" t="s">
        <v>38</v>
      </c>
      <c r="B39" s="123"/>
      <c r="C39" s="123">
        <f>C38</f>
        <v>-40144609.208000004</v>
      </c>
      <c r="D39" s="123">
        <f t="shared" ref="D39:V39" si="16">C39+D38</f>
        <v>-216083370.24359238</v>
      </c>
      <c r="E39" s="123">
        <f t="shared" si="16"/>
        <v>-362924808.14584517</v>
      </c>
      <c r="F39" s="123">
        <f t="shared" si="16"/>
        <v>-307562795.65472615</v>
      </c>
      <c r="G39" s="123">
        <f t="shared" si="16"/>
        <v>-153519952.28009424</v>
      </c>
      <c r="H39" s="123">
        <f t="shared" si="16"/>
        <v>4393031.2501191199</v>
      </c>
      <c r="I39" s="123">
        <f t="shared" si="16"/>
        <v>166429867.87972254</v>
      </c>
      <c r="J39" s="123">
        <f t="shared" si="16"/>
        <v>332837396.81040299</v>
      </c>
      <c r="K39" s="123">
        <f t="shared" si="16"/>
        <v>503856902.04003435</v>
      </c>
      <c r="L39" s="123">
        <f t="shared" si="16"/>
        <v>665511311.41919363</v>
      </c>
      <c r="M39" s="123">
        <f t="shared" si="16"/>
        <v>846462280.71959865</v>
      </c>
      <c r="N39" s="123">
        <f t="shared" si="16"/>
        <v>1032727196.5322722</v>
      </c>
      <c r="O39" s="123">
        <f t="shared" si="16"/>
        <v>1224536079.4044695</v>
      </c>
      <c r="P39" s="123">
        <f t="shared" si="16"/>
        <v>1422118418.6944015</v>
      </c>
      <c r="Q39" s="123">
        <f t="shared" si="16"/>
        <v>1607698070.8462002</v>
      </c>
      <c r="R39" s="123">
        <f t="shared" si="16"/>
        <v>1817517438.7321744</v>
      </c>
      <c r="S39" s="123">
        <f t="shared" si="16"/>
        <v>2033802917.679637</v>
      </c>
      <c r="T39" s="123">
        <f t="shared" si="16"/>
        <v>2256788976.0574088</v>
      </c>
      <c r="U39" s="123">
        <f t="shared" si="16"/>
        <v>2486712854.7025356</v>
      </c>
      <c r="V39" s="123">
        <f t="shared" si="16"/>
        <v>2723815098.6820025</v>
      </c>
      <c r="W39" s="9"/>
      <c r="X39" s="9"/>
      <c r="Y39" s="9"/>
    </row>
    <row r="40" spans="1:27" ht="15.75">
      <c r="A40" s="131"/>
      <c r="B40" s="132"/>
      <c r="C40" s="132"/>
      <c r="D40" s="132"/>
      <c r="E40" s="132"/>
      <c r="F40" s="132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9"/>
      <c r="X40" s="9"/>
      <c r="Y40" s="9"/>
      <c r="Z40" s="9"/>
      <c r="AA40" s="9"/>
    </row>
    <row r="41" spans="1:27" ht="15.75">
      <c r="A41" s="117" t="s">
        <v>40</v>
      </c>
      <c r="B41" s="134">
        <f>NPV(B43,F38:V38)</f>
        <v>1533632564.6077383</v>
      </c>
      <c r="C41" s="135"/>
      <c r="D41" s="118"/>
      <c r="E41" s="118"/>
      <c r="F41" s="118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9"/>
      <c r="X41" s="9"/>
      <c r="Y41" s="9"/>
    </row>
    <row r="42" spans="1:27" ht="15.75">
      <c r="A42" s="117" t="s">
        <v>41</v>
      </c>
      <c r="B42" s="136">
        <f>IRR(C39:V39,0.11)</f>
        <v>0.29789172300974853</v>
      </c>
      <c r="C42" s="118"/>
      <c r="D42" s="118"/>
      <c r="E42" s="118"/>
      <c r="F42" s="118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9"/>
      <c r="X42" s="9"/>
      <c r="Y42" s="9"/>
      <c r="Z42" s="9"/>
      <c r="AA42" s="9"/>
    </row>
    <row r="43" spans="1:27" ht="15.75">
      <c r="A43" s="117" t="s">
        <v>67</v>
      </c>
      <c r="B43" s="137">
        <v>0.08</v>
      </c>
      <c r="C43" s="118"/>
      <c r="D43" s="118"/>
      <c r="E43" s="118"/>
      <c r="F43" s="118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</row>
    <row r="44" spans="1:27" ht="15.75">
      <c r="A44" s="138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</row>
    <row r="45" spans="1:27" ht="32.25" thickBot="1">
      <c r="A45" s="138"/>
      <c r="B45" s="139" t="s">
        <v>169</v>
      </c>
      <c r="C45" s="140">
        <f>C39/1000000</f>
        <v>-40.144609208000006</v>
      </c>
      <c r="D45" s="133">
        <f t="shared" ref="D45:V45" si="17">D39/1000000</f>
        <v>-216.08337024359238</v>
      </c>
      <c r="E45" s="133">
        <f t="shared" si="17"/>
        <v>-362.92480814584519</v>
      </c>
      <c r="F45" s="133">
        <f t="shared" si="17"/>
        <v>-307.56279565472613</v>
      </c>
      <c r="G45" s="133">
        <f t="shared" si="17"/>
        <v>-153.51995228009423</v>
      </c>
      <c r="H45" s="133">
        <f t="shared" si="17"/>
        <v>4.3930312501191198</v>
      </c>
      <c r="I45" s="133">
        <f t="shared" si="17"/>
        <v>166.42986787972254</v>
      </c>
      <c r="J45" s="133">
        <f t="shared" si="17"/>
        <v>332.83739681040299</v>
      </c>
      <c r="K45" s="133">
        <f t="shared" si="17"/>
        <v>503.85690204003436</v>
      </c>
      <c r="L45" s="133">
        <f t="shared" si="17"/>
        <v>665.51131141919359</v>
      </c>
      <c r="M45" s="133">
        <f t="shared" si="17"/>
        <v>846.46228071959865</v>
      </c>
      <c r="N45" s="133">
        <f t="shared" si="17"/>
        <v>1032.7271965322723</v>
      </c>
      <c r="O45" s="133">
        <f t="shared" si="17"/>
        <v>1224.5360794044695</v>
      </c>
      <c r="P45" s="133">
        <f t="shared" si="17"/>
        <v>1422.1184186944015</v>
      </c>
      <c r="Q45" s="133">
        <f t="shared" si="17"/>
        <v>1607.6980708462002</v>
      </c>
      <c r="R45" s="133">
        <f t="shared" si="17"/>
        <v>1817.5174387321745</v>
      </c>
      <c r="S45" s="133">
        <f t="shared" si="17"/>
        <v>2033.8029176796369</v>
      </c>
      <c r="T45" s="133">
        <f t="shared" si="17"/>
        <v>2256.7889760574089</v>
      </c>
      <c r="U45" s="133">
        <f t="shared" si="17"/>
        <v>2486.7128547025354</v>
      </c>
      <c r="V45" s="133">
        <f t="shared" si="17"/>
        <v>2723.8150986820024</v>
      </c>
    </row>
    <row r="46" spans="1:27" ht="15.75">
      <c r="A46" s="138"/>
      <c r="B46" s="141"/>
      <c r="C46" s="163" t="s">
        <v>175</v>
      </c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5"/>
    </row>
    <row r="47" spans="1:27" ht="15.75">
      <c r="A47" s="138"/>
      <c r="B47" s="142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7"/>
    </row>
    <row r="48" spans="1:27" ht="15.75">
      <c r="A48" s="138"/>
      <c r="B48" s="142" t="s">
        <v>166</v>
      </c>
      <c r="C48" s="143">
        <f t="shared" ref="C48:V48" si="18">C9+C10+C11</f>
        <v>0</v>
      </c>
      <c r="D48" s="143">
        <f t="shared" si="18"/>
        <v>0</v>
      </c>
      <c r="E48" s="143">
        <f t="shared" si="18"/>
        <v>0</v>
      </c>
      <c r="F48" s="143">
        <f t="shared" si="18"/>
        <v>251565108.69</v>
      </c>
      <c r="G48" s="143">
        <f t="shared" si="18"/>
        <v>431853415</v>
      </c>
      <c r="H48" s="143">
        <f t="shared" si="18"/>
        <v>444809017.44999999</v>
      </c>
      <c r="I48" s="143">
        <f t="shared" si="18"/>
        <v>458153287.97350001</v>
      </c>
      <c r="J48" s="143">
        <f t="shared" si="18"/>
        <v>471897886.61270505</v>
      </c>
      <c r="K48" s="143">
        <f t="shared" si="18"/>
        <v>486054823.21108621</v>
      </c>
      <c r="L48" s="143">
        <f t="shared" si="18"/>
        <v>500636467.90741879</v>
      </c>
      <c r="M48" s="143">
        <f t="shared" si="18"/>
        <v>515655561.94464135</v>
      </c>
      <c r="N48" s="143">
        <f t="shared" si="18"/>
        <v>531125228.8029806</v>
      </c>
      <c r="O48" s="143">
        <f t="shared" si="18"/>
        <v>547058985.66707003</v>
      </c>
      <c r="P48" s="143">
        <f t="shared" si="18"/>
        <v>563470755.23708212</v>
      </c>
      <c r="Q48" s="143">
        <f t="shared" si="18"/>
        <v>580374877.8941946</v>
      </c>
      <c r="R48" s="143">
        <f t="shared" si="18"/>
        <v>597786124.23102045</v>
      </c>
      <c r="S48" s="143">
        <f t="shared" si="18"/>
        <v>615719707.95795107</v>
      </c>
      <c r="T48" s="143">
        <f t="shared" si="18"/>
        <v>634191299.19668972</v>
      </c>
      <c r="U48" s="143">
        <f t="shared" si="18"/>
        <v>653217038.17259037</v>
      </c>
      <c r="V48" s="144">
        <f t="shared" si="18"/>
        <v>672813549.3177681</v>
      </c>
    </row>
    <row r="49" spans="1:22" ht="15.75">
      <c r="A49" s="138"/>
      <c r="B49" s="142" t="s">
        <v>167</v>
      </c>
      <c r="C49" s="143">
        <f>C15+C16+C17</f>
        <v>40144609.208000004</v>
      </c>
      <c r="D49" s="143">
        <f t="shared" ref="D49:V49" si="19">D15+D16+D17</f>
        <v>111310052.80400001</v>
      </c>
      <c r="E49" s="143">
        <f t="shared" si="19"/>
        <v>85763483.307999998</v>
      </c>
      <c r="F49" s="143">
        <f t="shared" si="19"/>
        <v>27371324.460000001</v>
      </c>
      <c r="G49" s="143">
        <f t="shared" si="19"/>
        <v>0</v>
      </c>
      <c r="H49" s="143">
        <f t="shared" si="19"/>
        <v>0</v>
      </c>
      <c r="I49" s="143">
        <f t="shared" si="19"/>
        <v>0</v>
      </c>
      <c r="J49" s="143">
        <f t="shared" si="19"/>
        <v>0</v>
      </c>
      <c r="K49" s="143">
        <f t="shared" si="19"/>
        <v>0</v>
      </c>
      <c r="L49" s="143">
        <f t="shared" si="19"/>
        <v>0</v>
      </c>
      <c r="M49" s="143">
        <f t="shared" si="19"/>
        <v>0</v>
      </c>
      <c r="N49" s="143">
        <f t="shared" si="19"/>
        <v>0</v>
      </c>
      <c r="O49" s="143">
        <f t="shared" si="19"/>
        <v>0</v>
      </c>
      <c r="P49" s="143">
        <f t="shared" si="19"/>
        <v>0</v>
      </c>
      <c r="Q49" s="143">
        <f t="shared" si="19"/>
        <v>0</v>
      </c>
      <c r="R49" s="143">
        <f t="shared" si="19"/>
        <v>0</v>
      </c>
      <c r="S49" s="143">
        <f t="shared" si="19"/>
        <v>0</v>
      </c>
      <c r="T49" s="143">
        <f t="shared" si="19"/>
        <v>0</v>
      </c>
      <c r="U49" s="143">
        <f t="shared" si="19"/>
        <v>0</v>
      </c>
      <c r="V49" s="144">
        <f t="shared" si="19"/>
        <v>0</v>
      </c>
    </row>
    <row r="50" spans="1:22" ht="15.75">
      <c r="A50" s="138"/>
      <c r="B50" s="142" t="s">
        <v>168</v>
      </c>
      <c r="C50" s="143">
        <f>C21+C22+C23+C26+C28+C29</f>
        <v>0</v>
      </c>
      <c r="D50" s="143">
        <f t="shared" ref="D50:V50" si="20">D21+D22+D23+D26+D27+D29</f>
        <v>0</v>
      </c>
      <c r="E50" s="143">
        <f t="shared" si="20"/>
        <v>0</v>
      </c>
      <c r="F50" s="143">
        <f t="shared" si="20"/>
        <v>82697903.445648789</v>
      </c>
      <c r="G50" s="143">
        <f t="shared" si="20"/>
        <v>137224625.1325548</v>
      </c>
      <c r="H50" s="143">
        <f t="shared" si="20"/>
        <v>141341363.88653144</v>
      </c>
      <c r="I50" s="143">
        <f t="shared" si="20"/>
        <v>145581604.80312741</v>
      </c>
      <c r="J50" s="143">
        <f t="shared" si="20"/>
        <v>149949052.94722122</v>
      </c>
      <c r="K50" s="143">
        <f t="shared" si="20"/>
        <v>154447524.53563786</v>
      </c>
      <c r="L50" s="143">
        <f t="shared" si="20"/>
        <v>182770947.83484232</v>
      </c>
      <c r="M50" s="143">
        <f t="shared" si="20"/>
        <v>163853378.7798582</v>
      </c>
      <c r="N50" s="143">
        <f t="shared" si="20"/>
        <v>168768980.14325395</v>
      </c>
      <c r="O50" s="143">
        <f t="shared" si="20"/>
        <v>173832049.54755157</v>
      </c>
      <c r="P50" s="143">
        <f t="shared" si="20"/>
        <v>179047011.03397813</v>
      </c>
      <c r="Q50" s="143">
        <f t="shared" si="20"/>
        <v>214428201.50612289</v>
      </c>
      <c r="R50" s="143">
        <f t="shared" si="20"/>
        <v>189950974.00594741</v>
      </c>
      <c r="S50" s="143">
        <f t="shared" si="20"/>
        <v>195649503.22612584</v>
      </c>
      <c r="T50" s="143">
        <f t="shared" si="20"/>
        <v>201518988.32290959</v>
      </c>
      <c r="U50" s="143">
        <f t="shared" si="20"/>
        <v>207564557.97259688</v>
      </c>
      <c r="V50" s="144">
        <f t="shared" si="20"/>
        <v>213791494.7117748</v>
      </c>
    </row>
    <row r="51" spans="1:22" ht="15.75">
      <c r="A51" s="138"/>
      <c r="B51" s="142" t="s">
        <v>171</v>
      </c>
      <c r="C51" s="143">
        <f>C31</f>
        <v>40144609.208000004</v>
      </c>
      <c r="D51" s="143">
        <f t="shared" ref="D51:V51" si="21">D31</f>
        <v>175938761.03559238</v>
      </c>
      <c r="E51" s="143">
        <f t="shared" si="21"/>
        <v>146841437.90225276</v>
      </c>
      <c r="F51" s="143">
        <f t="shared" si="21"/>
        <v>204302447.57283404</v>
      </c>
      <c r="G51" s="143">
        <f t="shared" si="21"/>
        <v>215385085.59964246</v>
      </c>
      <c r="H51" s="143">
        <f t="shared" si="21"/>
        <v>217651534.15272295</v>
      </c>
      <c r="I51" s="143">
        <f t="shared" si="21"/>
        <v>220329998.01024884</v>
      </c>
      <c r="J51" s="143">
        <f t="shared" si="21"/>
        <v>223396624.80526358</v>
      </c>
      <c r="K51" s="143">
        <f t="shared" si="21"/>
        <v>226830658.47623262</v>
      </c>
      <c r="L51" s="143">
        <f t="shared" si="21"/>
        <v>254304128.46919066</v>
      </c>
      <c r="M51" s="143">
        <f t="shared" si="21"/>
        <v>234731586.54710507</v>
      </c>
      <c r="N51" s="143">
        <f t="shared" si="21"/>
        <v>239169836.57589436</v>
      </c>
      <c r="O51" s="143">
        <f t="shared" si="21"/>
        <v>243917739.48526502</v>
      </c>
      <c r="P51" s="143">
        <f t="shared" si="21"/>
        <v>248966005.34797993</v>
      </c>
      <c r="Q51" s="143">
        <f t="shared" si="21"/>
        <v>284316801.41838986</v>
      </c>
      <c r="R51" s="143">
        <f t="shared" si="21"/>
        <v>259934695.87083256</v>
      </c>
      <c r="S51" s="143">
        <f t="shared" si="21"/>
        <v>265844320.65846506</v>
      </c>
      <c r="T51" s="143">
        <f t="shared" si="21"/>
        <v>272032446.7821672</v>
      </c>
      <c r="U51" s="143">
        <f t="shared" si="21"/>
        <v>278496775.32492197</v>
      </c>
      <c r="V51" s="144">
        <f t="shared" si="21"/>
        <v>285236059.87137043</v>
      </c>
    </row>
    <row r="52" spans="1:22" ht="31.5">
      <c r="A52" s="138"/>
      <c r="B52" s="145" t="s">
        <v>176</v>
      </c>
      <c r="C52" s="143">
        <f>C33</f>
        <v>0</v>
      </c>
      <c r="D52" s="143">
        <f t="shared" ref="D52:V52" si="22">D33</f>
        <v>0</v>
      </c>
      <c r="E52" s="143">
        <f t="shared" si="22"/>
        <v>0</v>
      </c>
      <c r="F52" s="143">
        <f t="shared" si="22"/>
        <v>47262661.117165953</v>
      </c>
      <c r="G52" s="143">
        <f t="shared" si="22"/>
        <v>216468329.40035754</v>
      </c>
      <c r="H52" s="143">
        <f t="shared" si="22"/>
        <v>227157483.29727703</v>
      </c>
      <c r="I52" s="143">
        <f t="shared" si="22"/>
        <v>237823289.96325117</v>
      </c>
      <c r="J52" s="143">
        <f t="shared" si="22"/>
        <v>248501261.80744147</v>
      </c>
      <c r="K52" s="143">
        <f t="shared" si="22"/>
        <v>259224164.7348536</v>
      </c>
      <c r="L52" s="143">
        <f t="shared" si="22"/>
        <v>246332339.43822813</v>
      </c>
      <c r="M52" s="143">
        <f t="shared" si="22"/>
        <v>280923975.39753628</v>
      </c>
      <c r="N52" s="143">
        <f t="shared" si="22"/>
        <v>291955392.22708625</v>
      </c>
      <c r="O52" s="143">
        <f t="shared" si="22"/>
        <v>303141246.18180501</v>
      </c>
      <c r="P52" s="143">
        <f t="shared" si="22"/>
        <v>314504749.88910222</v>
      </c>
      <c r="Q52" s="143">
        <f t="shared" si="22"/>
        <v>296058076.47580475</v>
      </c>
      <c r="R52" s="143">
        <f t="shared" si="22"/>
        <v>337851428.36018789</v>
      </c>
      <c r="S52" s="143">
        <f t="shared" si="22"/>
        <v>349875387.29948604</v>
      </c>
      <c r="T52" s="143">
        <f t="shared" si="22"/>
        <v>362158852.41452253</v>
      </c>
      <c r="U52" s="143">
        <f t="shared" si="22"/>
        <v>374720262.84766841</v>
      </c>
      <c r="V52" s="144">
        <f t="shared" si="22"/>
        <v>387577489.44639766</v>
      </c>
    </row>
    <row r="53" spans="1:22" ht="15.75">
      <c r="A53" s="138"/>
      <c r="B53" s="142" t="s">
        <v>172</v>
      </c>
      <c r="C53" s="143">
        <f>C34</f>
        <v>0</v>
      </c>
      <c r="D53" s="143">
        <f t="shared" ref="D53:V53" si="23">D34</f>
        <v>0</v>
      </c>
      <c r="E53" s="143">
        <f t="shared" si="23"/>
        <v>0</v>
      </c>
      <c r="F53" s="143">
        <f t="shared" si="23"/>
        <v>18905064.446866382</v>
      </c>
      <c r="G53" s="143">
        <f t="shared" si="23"/>
        <v>86587331.760143027</v>
      </c>
      <c r="H53" s="143">
        <f t="shared" si="23"/>
        <v>90862993.318910822</v>
      </c>
      <c r="I53" s="143">
        <f t="shared" si="23"/>
        <v>95129315.985300481</v>
      </c>
      <c r="J53" s="143">
        <f t="shared" si="23"/>
        <v>99400504.722976595</v>
      </c>
      <c r="K53" s="143">
        <f t="shared" si="23"/>
        <v>103689665.89394145</v>
      </c>
      <c r="L53" s="143">
        <f t="shared" si="23"/>
        <v>98532935.775291264</v>
      </c>
      <c r="M53" s="143">
        <f t="shared" si="23"/>
        <v>112369590.15901452</v>
      </c>
      <c r="N53" s="143">
        <f t="shared" si="23"/>
        <v>116782156.89083451</v>
      </c>
      <c r="O53" s="143">
        <f t="shared" si="23"/>
        <v>121256498.47272201</v>
      </c>
      <c r="P53" s="143">
        <f t="shared" si="23"/>
        <v>125801899.9556409</v>
      </c>
      <c r="Q53" s="143">
        <f t="shared" si="23"/>
        <v>118423230.5903219</v>
      </c>
      <c r="R53" s="143">
        <f t="shared" si="23"/>
        <v>135140571.34407517</v>
      </c>
      <c r="S53" s="143">
        <f t="shared" si="23"/>
        <v>139950154.91979441</v>
      </c>
      <c r="T53" s="143">
        <f t="shared" si="23"/>
        <v>144863540.96580902</v>
      </c>
      <c r="U53" s="143">
        <f t="shared" si="23"/>
        <v>149888105.13906738</v>
      </c>
      <c r="V53" s="144">
        <f t="shared" si="23"/>
        <v>155030995.77855906</v>
      </c>
    </row>
    <row r="54" spans="1:22" ht="15.75">
      <c r="A54" s="138"/>
      <c r="B54" s="142" t="s">
        <v>173</v>
      </c>
      <c r="C54" s="143">
        <f>C35</f>
        <v>0</v>
      </c>
      <c r="D54" s="143">
        <f t="shared" ref="D54:V54" si="24">D35</f>
        <v>0</v>
      </c>
      <c r="E54" s="143">
        <f t="shared" si="24"/>
        <v>0</v>
      </c>
      <c r="F54" s="143">
        <f t="shared" si="24"/>
        <v>28357596.670299571</v>
      </c>
      <c r="G54" s="143">
        <f t="shared" si="24"/>
        <v>129880997.64021452</v>
      </c>
      <c r="H54" s="143">
        <f t="shared" si="24"/>
        <v>136294489.9783662</v>
      </c>
      <c r="I54" s="143">
        <f t="shared" si="24"/>
        <v>142693973.97795069</v>
      </c>
      <c r="J54" s="143">
        <f t="shared" si="24"/>
        <v>149100757.08446488</v>
      </c>
      <c r="K54" s="143">
        <f t="shared" si="24"/>
        <v>155534498.84091216</v>
      </c>
      <c r="L54" s="143">
        <f t="shared" si="24"/>
        <v>147799403.66293687</v>
      </c>
      <c r="M54" s="143">
        <f t="shared" si="24"/>
        <v>168554385.23852175</v>
      </c>
      <c r="N54" s="143">
        <f t="shared" si="24"/>
        <v>175173235.33625174</v>
      </c>
      <c r="O54" s="143">
        <f t="shared" si="24"/>
        <v>181884747.70908302</v>
      </c>
      <c r="P54" s="143">
        <f t="shared" si="24"/>
        <v>188702849.93346131</v>
      </c>
      <c r="Q54" s="143">
        <f t="shared" si="24"/>
        <v>177634845.88548285</v>
      </c>
      <c r="R54" s="143">
        <f t="shared" si="24"/>
        <v>202710857.01611272</v>
      </c>
      <c r="S54" s="143">
        <f t="shared" si="24"/>
        <v>209925232.37969163</v>
      </c>
      <c r="T54" s="143">
        <f t="shared" si="24"/>
        <v>217295311.44871351</v>
      </c>
      <c r="U54" s="143">
        <f t="shared" si="24"/>
        <v>224832157.70860103</v>
      </c>
      <c r="V54" s="144">
        <f t="shared" si="24"/>
        <v>232546493.6678386</v>
      </c>
    </row>
    <row r="55" spans="1:22" ht="16.5" thickBot="1">
      <c r="A55" s="138"/>
      <c r="B55" s="146" t="s">
        <v>174</v>
      </c>
      <c r="C55" s="147">
        <f>C39</f>
        <v>-40144609.208000004</v>
      </c>
      <c r="D55" s="147">
        <f t="shared" ref="D55:V55" si="25">D39</f>
        <v>-216083370.24359238</v>
      </c>
      <c r="E55" s="147">
        <f t="shared" si="25"/>
        <v>-362924808.14584517</v>
      </c>
      <c r="F55" s="147">
        <f t="shared" si="25"/>
        <v>-307562795.65472615</v>
      </c>
      <c r="G55" s="147">
        <f t="shared" si="25"/>
        <v>-153519952.28009424</v>
      </c>
      <c r="H55" s="147">
        <f t="shared" si="25"/>
        <v>4393031.2501191199</v>
      </c>
      <c r="I55" s="147">
        <f t="shared" si="25"/>
        <v>166429867.87972254</v>
      </c>
      <c r="J55" s="147">
        <f t="shared" si="25"/>
        <v>332837396.81040299</v>
      </c>
      <c r="K55" s="147">
        <f t="shared" si="25"/>
        <v>503856902.04003435</v>
      </c>
      <c r="L55" s="147">
        <f t="shared" si="25"/>
        <v>665511311.41919363</v>
      </c>
      <c r="M55" s="147">
        <f t="shared" si="25"/>
        <v>846462280.71959865</v>
      </c>
      <c r="N55" s="147">
        <f t="shared" si="25"/>
        <v>1032727196.5322722</v>
      </c>
      <c r="O55" s="147">
        <f t="shared" si="25"/>
        <v>1224536079.4044695</v>
      </c>
      <c r="P55" s="147">
        <f t="shared" si="25"/>
        <v>1422118418.6944015</v>
      </c>
      <c r="Q55" s="147">
        <f t="shared" si="25"/>
        <v>1607698070.8462002</v>
      </c>
      <c r="R55" s="147">
        <f t="shared" si="25"/>
        <v>1817517438.7321744</v>
      </c>
      <c r="S55" s="147">
        <f t="shared" si="25"/>
        <v>2033802917.679637</v>
      </c>
      <c r="T55" s="147">
        <f t="shared" si="25"/>
        <v>2256788976.0574088</v>
      </c>
      <c r="U55" s="147">
        <f t="shared" si="25"/>
        <v>2486712854.7025356</v>
      </c>
      <c r="V55" s="148">
        <f t="shared" si="25"/>
        <v>2723815098.6820025</v>
      </c>
    </row>
    <row r="56" spans="1:22" ht="15.75">
      <c r="A56" s="138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</row>
    <row r="57" spans="1:22" ht="15.75">
      <c r="A57" s="138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</row>
    <row r="58" spans="1:22" ht="16.5" thickBot="1">
      <c r="A58" s="138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</row>
    <row r="59" spans="1:22" ht="15.75" thickBot="1">
      <c r="C59" s="62" t="s">
        <v>193</v>
      </c>
      <c r="D59" s="63" t="s">
        <v>40</v>
      </c>
      <c r="E59" s="64" t="s">
        <v>41</v>
      </c>
    </row>
    <row r="60" spans="1:22">
      <c r="C60" s="61">
        <v>170</v>
      </c>
      <c r="D60" s="61">
        <v>-45.5</v>
      </c>
      <c r="E60" s="61"/>
    </row>
    <row r="61" spans="1:22">
      <c r="C61" s="59">
        <f>C60+10</f>
        <v>180</v>
      </c>
      <c r="D61" s="60">
        <v>13</v>
      </c>
      <c r="E61" s="59"/>
    </row>
    <row r="62" spans="1:22">
      <c r="C62" s="59">
        <f t="shared" ref="C62:C65" si="26">C61+10</f>
        <v>190</v>
      </c>
      <c r="D62" s="59">
        <v>71.3</v>
      </c>
      <c r="E62" s="59"/>
    </row>
    <row r="63" spans="1:22">
      <c r="C63" s="59">
        <f t="shared" si="26"/>
        <v>200</v>
      </c>
      <c r="D63" s="59">
        <v>129.69999999999999</v>
      </c>
      <c r="E63" s="59"/>
    </row>
    <row r="64" spans="1:22">
      <c r="C64" s="59">
        <f t="shared" si="26"/>
        <v>210</v>
      </c>
      <c r="D64" s="59">
        <v>188</v>
      </c>
      <c r="E64" s="59">
        <v>-6.82</v>
      </c>
    </row>
    <row r="65" spans="3:8">
      <c r="C65" s="59">
        <f t="shared" si="26"/>
        <v>220</v>
      </c>
      <c r="D65" s="59">
        <v>246.7</v>
      </c>
      <c r="E65" s="59">
        <v>0.46</v>
      </c>
    </row>
    <row r="66" spans="3:8">
      <c r="C66" s="59">
        <v>250</v>
      </c>
      <c r="D66" s="59">
        <v>421.7</v>
      </c>
      <c r="E66" s="59">
        <v>12.65</v>
      </c>
    </row>
    <row r="67" spans="3:8">
      <c r="C67" s="59">
        <v>300</v>
      </c>
      <c r="D67" s="59">
        <v>713.7</v>
      </c>
      <c r="E67" s="59">
        <v>24.67</v>
      </c>
    </row>
    <row r="70" spans="3:8" ht="23.25">
      <c r="C70" s="73" t="s">
        <v>204</v>
      </c>
      <c r="D70" s="73" t="s">
        <v>205</v>
      </c>
      <c r="E70" s="73" t="s">
        <v>206</v>
      </c>
      <c r="F70" s="73" t="s">
        <v>207</v>
      </c>
      <c r="G70" s="73" t="s">
        <v>208</v>
      </c>
      <c r="H70" s="73" t="s">
        <v>209</v>
      </c>
    </row>
    <row r="71" spans="3:8" ht="18.75">
      <c r="C71" s="77" t="s">
        <v>166</v>
      </c>
      <c r="D71" s="78">
        <v>0</v>
      </c>
      <c r="E71" s="78">
        <v>0</v>
      </c>
      <c r="F71" s="78">
        <v>0</v>
      </c>
      <c r="G71" s="78">
        <v>167370000</v>
      </c>
      <c r="H71" s="81">
        <v>447354764.00274372</v>
      </c>
    </row>
    <row r="72" spans="3:8" ht="18.75">
      <c r="C72" s="77" t="s">
        <v>167</v>
      </c>
      <c r="D72" s="78">
        <v>25546569.495999999</v>
      </c>
      <c r="E72" s="78">
        <v>104011032.948</v>
      </c>
      <c r="F72" s="78">
        <v>72990198.560000002</v>
      </c>
      <c r="G72" s="78">
        <v>20072304.604000002</v>
      </c>
      <c r="H72" s="81">
        <v>0</v>
      </c>
    </row>
    <row r="73" spans="3:8" ht="18.75">
      <c r="C73" s="77" t="s">
        <v>168</v>
      </c>
      <c r="D73" s="78">
        <v>0</v>
      </c>
      <c r="E73" s="78">
        <v>0</v>
      </c>
      <c r="F73" s="78">
        <v>0</v>
      </c>
      <c r="G73" s="78">
        <v>86697812.514998406</v>
      </c>
      <c r="H73" s="81">
        <v>215254574.9908472</v>
      </c>
    </row>
    <row r="74" spans="3:8" ht="18.75">
      <c r="C74" s="77" t="s">
        <v>171</v>
      </c>
      <c r="D74" s="78">
        <v>25546569.495999999</v>
      </c>
      <c r="E74" s="78">
        <v>104011032.948</v>
      </c>
      <c r="F74" s="78">
        <v>72990198.560000002</v>
      </c>
      <c r="G74" s="78">
        <v>159958248.05658969</v>
      </c>
      <c r="H74" s="81">
        <v>252646529.63400906</v>
      </c>
    </row>
    <row r="75" spans="3:8" ht="18.75">
      <c r="C75" s="77" t="s">
        <v>176</v>
      </c>
      <c r="D75" s="78">
        <v>0</v>
      </c>
      <c r="E75" s="78">
        <v>0</v>
      </c>
      <c r="F75" s="78">
        <v>0</v>
      </c>
      <c r="G75" s="78">
        <v>7411751.9434103072</v>
      </c>
      <c r="H75" s="81">
        <v>194708234.36873466</v>
      </c>
    </row>
    <row r="76" spans="3:8" ht="18.75">
      <c r="C76" s="77" t="s">
        <v>172</v>
      </c>
      <c r="D76" s="78">
        <v>0</v>
      </c>
      <c r="E76" s="78">
        <v>0</v>
      </c>
      <c r="F76" s="78">
        <v>0</v>
      </c>
      <c r="G76" s="78">
        <v>2964700.7773641231</v>
      </c>
      <c r="H76" s="81">
        <v>77883293.747493863</v>
      </c>
    </row>
    <row r="77" spans="3:8" ht="18.75">
      <c r="C77" s="77" t="s">
        <v>173</v>
      </c>
      <c r="D77" s="78">
        <v>0</v>
      </c>
      <c r="E77" s="78">
        <v>0</v>
      </c>
      <c r="F77" s="78">
        <v>0</v>
      </c>
      <c r="G77" s="78">
        <v>4447051.1660461836</v>
      </c>
      <c r="H77" s="81">
        <v>116824940.62124079</v>
      </c>
    </row>
    <row r="78" spans="3:8" ht="19.5" thickBot="1">
      <c r="C78" s="77" t="s">
        <v>211</v>
      </c>
      <c r="D78" s="78">
        <v>-25546569.495999999</v>
      </c>
      <c r="E78" s="78">
        <v>-129557602.44400001</v>
      </c>
      <c r="F78" s="78">
        <v>-202547801.00400001</v>
      </c>
      <c r="G78" s="78">
        <v>-180130169.5360598</v>
      </c>
      <c r="H78" s="82">
        <v>1248659452.3765562</v>
      </c>
    </row>
    <row r="79" spans="3:8" ht="28.5">
      <c r="C79" s="75" t="s">
        <v>40</v>
      </c>
      <c r="D79" s="80">
        <v>713699437.44372904</v>
      </c>
      <c r="E79" s="76"/>
      <c r="F79" s="76"/>
      <c r="G79" s="76"/>
      <c r="H79" s="76"/>
    </row>
    <row r="80" spans="3:8" ht="28.5">
      <c r="C80" s="75" t="s">
        <v>41</v>
      </c>
      <c r="D80" s="79">
        <v>24.67</v>
      </c>
      <c r="E80" s="76"/>
      <c r="F80" s="76"/>
      <c r="G80" s="76"/>
      <c r="H80" s="76"/>
    </row>
    <row r="81" spans="3:8" ht="28.5">
      <c r="C81" s="75" t="s">
        <v>210</v>
      </c>
      <c r="D81" s="79">
        <v>8</v>
      </c>
      <c r="E81" s="76"/>
      <c r="F81" s="76"/>
      <c r="G81" s="76"/>
      <c r="H81" s="76"/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mergeCells count="1">
    <mergeCell ref="C46:V47"/>
  </mergeCells>
  <pageMargins left="0.7" right="0.7" top="0.75" bottom="0.75" header="0.3" footer="0.3"/>
  <pageSetup orientation="portrait" horizontalDpi="300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3:F18"/>
  <sheetViews>
    <sheetView workbookViewId="0">
      <selection activeCell="C8" sqref="C8"/>
    </sheetView>
  </sheetViews>
  <sheetFormatPr defaultRowHeight="15"/>
  <cols>
    <col min="1" max="1" width="20.85546875" customWidth="1"/>
    <col min="2" max="2" width="10" bestFit="1" customWidth="1"/>
    <col min="3" max="3" width="14.85546875" bestFit="1" customWidth="1"/>
    <col min="4" max="4" width="16" customWidth="1"/>
  </cols>
  <sheetData>
    <row r="3" spans="1:6">
      <c r="A3" t="s">
        <v>68</v>
      </c>
    </row>
    <row r="4" spans="1:6">
      <c r="A4" s="35" t="s">
        <v>69</v>
      </c>
      <c r="B4" s="35">
        <v>3</v>
      </c>
      <c r="C4" s="58"/>
      <c r="D4" s="35"/>
      <c r="F4">
        <f>365*24</f>
        <v>8760</v>
      </c>
    </row>
    <row r="5" spans="1:6">
      <c r="A5" s="35" t="s">
        <v>186</v>
      </c>
      <c r="B5" s="35">
        <v>30</v>
      </c>
      <c r="C5" s="58">
        <v>30</v>
      </c>
      <c r="D5" s="58">
        <f t="shared" ref="D5:D12" si="0">C5*F4*B5/3</f>
        <v>2628000</v>
      </c>
      <c r="F5">
        <f t="shared" ref="F5:F14" si="1">365*24</f>
        <v>8760</v>
      </c>
    </row>
    <row r="6" spans="1:6">
      <c r="A6" s="35" t="s">
        <v>185</v>
      </c>
      <c r="B6" s="35">
        <v>6</v>
      </c>
      <c r="C6" s="58">
        <v>10</v>
      </c>
      <c r="D6" s="58">
        <f t="shared" si="0"/>
        <v>175200</v>
      </c>
      <c r="F6">
        <f t="shared" si="1"/>
        <v>8760</v>
      </c>
    </row>
    <row r="7" spans="1:6">
      <c r="A7" s="35" t="s">
        <v>187</v>
      </c>
      <c r="B7" s="35">
        <v>6</v>
      </c>
      <c r="C7" s="58">
        <v>10</v>
      </c>
      <c r="D7" s="58">
        <f t="shared" si="0"/>
        <v>175200</v>
      </c>
      <c r="F7">
        <f t="shared" si="1"/>
        <v>8760</v>
      </c>
    </row>
    <row r="8" spans="1:6">
      <c r="A8" s="35" t="s">
        <v>188</v>
      </c>
      <c r="B8" s="35">
        <v>12</v>
      </c>
      <c r="C8" s="58">
        <v>10</v>
      </c>
      <c r="D8" s="58">
        <f t="shared" si="0"/>
        <v>350400</v>
      </c>
      <c r="F8">
        <f t="shared" si="1"/>
        <v>8760</v>
      </c>
    </row>
    <row r="9" spans="1:6">
      <c r="A9" s="35" t="s">
        <v>189</v>
      </c>
      <c r="B9" s="35">
        <v>6</v>
      </c>
      <c r="C9" s="58">
        <v>20</v>
      </c>
      <c r="D9" s="58">
        <f t="shared" si="0"/>
        <v>350400</v>
      </c>
      <c r="F9">
        <f t="shared" si="1"/>
        <v>8760</v>
      </c>
    </row>
    <row r="10" spans="1:6">
      <c r="A10" s="35" t="s">
        <v>190</v>
      </c>
      <c r="B10" s="35">
        <v>3</v>
      </c>
      <c r="C10" s="58">
        <v>40</v>
      </c>
      <c r="D10" s="58">
        <f t="shared" si="0"/>
        <v>350400</v>
      </c>
      <c r="F10">
        <f>365*24</f>
        <v>8760</v>
      </c>
    </row>
    <row r="11" spans="1:6">
      <c r="A11" s="35" t="s">
        <v>70</v>
      </c>
      <c r="B11" s="35">
        <v>2</v>
      </c>
      <c r="C11" s="58">
        <v>30</v>
      </c>
      <c r="D11" s="58">
        <f t="shared" si="0"/>
        <v>175200</v>
      </c>
      <c r="F11">
        <f t="shared" si="1"/>
        <v>8760</v>
      </c>
    </row>
    <row r="12" spans="1:6">
      <c r="A12" s="35" t="s">
        <v>191</v>
      </c>
      <c r="B12" s="35">
        <v>3</v>
      </c>
      <c r="C12" s="58">
        <v>35</v>
      </c>
      <c r="D12" s="58">
        <f t="shared" si="0"/>
        <v>306600</v>
      </c>
    </row>
    <row r="13" spans="1:6">
      <c r="A13" s="35" t="s">
        <v>71</v>
      </c>
      <c r="B13" s="35">
        <f>SUM(B4:B12)</f>
        <v>71</v>
      </c>
      <c r="C13" s="58"/>
      <c r="D13" s="58">
        <f>C13*F11*B13</f>
        <v>0</v>
      </c>
      <c r="F13">
        <f t="shared" si="1"/>
        <v>8760</v>
      </c>
    </row>
    <row r="14" spans="1:6">
      <c r="A14" s="35" t="s">
        <v>91</v>
      </c>
      <c r="B14" s="35">
        <v>2920</v>
      </c>
      <c r="C14" s="58"/>
      <c r="D14" s="58">
        <f t="shared" ref="D14:D15" si="2">C14*F13*B14</f>
        <v>0</v>
      </c>
      <c r="F14">
        <f t="shared" si="1"/>
        <v>8760</v>
      </c>
    </row>
    <row r="15" spans="1:6" ht="30">
      <c r="A15" s="34" t="s">
        <v>92</v>
      </c>
      <c r="B15" s="35">
        <f>20*2920</f>
        <v>58400</v>
      </c>
      <c r="C15" s="58"/>
      <c r="D15" s="58">
        <f t="shared" si="2"/>
        <v>0</v>
      </c>
      <c r="F15">
        <f>2920</f>
        <v>2920</v>
      </c>
    </row>
    <row r="16" spans="1:6">
      <c r="A16" s="35" t="s">
        <v>72</v>
      </c>
      <c r="B16" s="35"/>
      <c r="C16" s="58"/>
      <c r="D16" s="58">
        <f>SUM(D5:D12)</f>
        <v>4511400</v>
      </c>
      <c r="F16">
        <f>2920</f>
        <v>2920</v>
      </c>
    </row>
    <row r="17" spans="1:4">
      <c r="A17" s="35" t="s">
        <v>73</v>
      </c>
      <c r="B17" s="35"/>
      <c r="C17" s="58"/>
      <c r="D17" s="58">
        <f>D16*0.4</f>
        <v>1804560</v>
      </c>
    </row>
    <row r="18" spans="1:4">
      <c r="A18" s="35" t="s">
        <v>74</v>
      </c>
      <c r="B18" s="35"/>
      <c r="C18" s="58"/>
      <c r="D18" s="58">
        <f>SUM(D16:D17)</f>
        <v>6315960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F2" sqref="F2:F8"/>
    </sheetView>
  </sheetViews>
  <sheetFormatPr defaultRowHeight="15"/>
  <cols>
    <col min="1" max="1" width="9.28515625" bestFit="1" customWidth="1"/>
    <col min="2" max="2" width="15.5703125" bestFit="1" customWidth="1"/>
    <col min="3" max="3" width="15.5703125" customWidth="1"/>
    <col min="4" max="4" width="9.140625" style="4"/>
    <col min="7" max="7" width="12.85546875" bestFit="1" customWidth="1"/>
  </cols>
  <sheetData>
    <row r="1" spans="1:13" ht="30">
      <c r="A1" s="18" t="s">
        <v>75</v>
      </c>
      <c r="B1" s="29" t="s">
        <v>40</v>
      </c>
      <c r="C1" s="29" t="s">
        <v>79</v>
      </c>
      <c r="D1" s="4" t="s">
        <v>41</v>
      </c>
      <c r="E1" s="16" t="s">
        <v>76</v>
      </c>
      <c r="J1" s="16" t="s">
        <v>77</v>
      </c>
      <c r="K1" s="16" t="s">
        <v>78</v>
      </c>
      <c r="L1" t="s">
        <v>40</v>
      </c>
      <c r="M1" t="s">
        <v>41</v>
      </c>
    </row>
    <row r="2" spans="1:13">
      <c r="A2" s="29">
        <v>170</v>
      </c>
      <c r="B2" s="29">
        <v>-276011825.44681263</v>
      </c>
      <c r="C2" s="29">
        <f t="shared" ref="C2:C7" si="0">B2/1000000</f>
        <v>-276.01182544681262</v>
      </c>
      <c r="D2" s="4">
        <v>-6.6607769327532984E-2</v>
      </c>
      <c r="J2">
        <v>200</v>
      </c>
      <c r="K2">
        <v>45</v>
      </c>
      <c r="L2">
        <v>233631031.6960443</v>
      </c>
      <c r="M2" s="4">
        <v>0.10164860805590825</v>
      </c>
    </row>
    <row r="3" spans="1:13">
      <c r="A3" s="29">
        <v>180</v>
      </c>
      <c r="B3" s="29">
        <v>-201368968.3039555</v>
      </c>
      <c r="C3" s="29">
        <f t="shared" si="0"/>
        <v>-201.36896830395548</v>
      </c>
      <c r="D3" s="4">
        <v>-1.835469771131415E-2</v>
      </c>
      <c r="J3">
        <v>200</v>
      </c>
    </row>
    <row r="4" spans="1:13">
      <c r="A4" s="29">
        <v>190</v>
      </c>
      <c r="B4" s="29">
        <v>-126726111.16109863</v>
      </c>
      <c r="C4" s="29">
        <f t="shared" si="0"/>
        <v>-126.72611116109863</v>
      </c>
      <c r="D4" s="4">
        <v>1.2217231567797304E-2</v>
      </c>
      <c r="J4">
        <v>200</v>
      </c>
    </row>
    <row r="5" spans="1:13">
      <c r="A5" s="32">
        <v>200</v>
      </c>
      <c r="B5" s="29">
        <v>-52083254.018241353</v>
      </c>
      <c r="C5" s="29">
        <f t="shared" si="0"/>
        <v>-52.083254018241355</v>
      </c>
      <c r="D5" s="4">
        <v>3.5835205400919667E-2</v>
      </c>
      <c r="E5" t="s">
        <v>80</v>
      </c>
      <c r="G5" s="8"/>
      <c r="J5">
        <v>200</v>
      </c>
    </row>
    <row r="6" spans="1:13">
      <c r="A6" s="32">
        <v>210</v>
      </c>
      <c r="B6" s="29">
        <v>22559603.124615725</v>
      </c>
      <c r="C6" s="29">
        <f t="shared" si="0"/>
        <v>22.559603124615727</v>
      </c>
      <c r="D6" s="4">
        <v>5.5717693554777625E-2</v>
      </c>
      <c r="G6" s="8"/>
      <c r="J6">
        <v>200</v>
      </c>
    </row>
    <row r="7" spans="1:13">
      <c r="A7" s="29">
        <v>220</v>
      </c>
      <c r="B7" s="29">
        <v>97202460.267472878</v>
      </c>
      <c r="C7" s="29">
        <f t="shared" si="0"/>
        <v>97.202460267472873</v>
      </c>
      <c r="D7" s="4">
        <v>7.3279449979839262E-2</v>
      </c>
      <c r="G7" s="8"/>
      <c r="J7">
        <v>200</v>
      </c>
    </row>
    <row r="8" spans="1:13">
      <c r="A8" s="29">
        <v>230</v>
      </c>
      <c r="B8" s="29">
        <v>171845317.41033009</v>
      </c>
      <c r="C8" s="29">
        <f>B8/1000000</f>
        <v>171.8453174103301</v>
      </c>
      <c r="D8" s="4">
        <v>8.9272189412370251E-2</v>
      </c>
      <c r="G8" s="8"/>
      <c r="J8">
        <v>200</v>
      </c>
    </row>
    <row r="9" spans="1:13">
      <c r="J9">
        <v>200</v>
      </c>
    </row>
    <row r="10" spans="1:13">
      <c r="J10">
        <v>200</v>
      </c>
    </row>
    <row r="11" spans="1:13">
      <c r="J11">
        <v>200</v>
      </c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S60"/>
  <sheetViews>
    <sheetView topLeftCell="B38" zoomScale="77" zoomScaleNormal="77" workbookViewId="0">
      <selection activeCell="I60" sqref="I60"/>
    </sheetView>
  </sheetViews>
  <sheetFormatPr defaultRowHeight="15"/>
  <cols>
    <col min="3" max="3" width="28.5703125" customWidth="1"/>
    <col min="4" max="4" width="16.5703125" customWidth="1"/>
    <col min="5" max="5" width="18.85546875" customWidth="1"/>
    <col min="6" max="6" width="16.85546875" customWidth="1"/>
    <col min="7" max="7" width="32" customWidth="1"/>
    <col min="8" max="8" width="31.7109375" customWidth="1"/>
    <col min="9" max="9" width="31.28515625" customWidth="1"/>
    <col min="10" max="10" width="11.85546875" customWidth="1"/>
    <col min="11" max="11" width="15.28515625" customWidth="1"/>
    <col min="12" max="12" width="13.42578125" customWidth="1"/>
    <col min="13" max="13" width="16.7109375" customWidth="1"/>
    <col min="14" max="14" width="15" customWidth="1"/>
    <col min="15" max="15" width="15.28515625" customWidth="1"/>
    <col min="16" max="16" width="12.7109375" customWidth="1"/>
  </cols>
  <sheetData>
    <row r="2" spans="1:16">
      <c r="A2" t="s">
        <v>109</v>
      </c>
      <c r="C2" t="s">
        <v>110</v>
      </c>
      <c r="N2" t="s">
        <v>96</v>
      </c>
    </row>
    <row r="3" spans="1:16" ht="30">
      <c r="A3" t="s">
        <v>111</v>
      </c>
      <c r="C3" t="s">
        <v>112</v>
      </c>
      <c r="D3" t="s">
        <v>98</v>
      </c>
      <c r="H3" t="s">
        <v>97</v>
      </c>
      <c r="I3" t="s">
        <v>98</v>
      </c>
      <c r="J3" t="s">
        <v>99</v>
      </c>
      <c r="K3" t="s">
        <v>100</v>
      </c>
      <c r="L3" t="s">
        <v>101</v>
      </c>
      <c r="M3" t="s">
        <v>102</v>
      </c>
      <c r="N3" t="s">
        <v>103</v>
      </c>
      <c r="O3" s="16" t="s">
        <v>153</v>
      </c>
      <c r="P3" t="s">
        <v>104</v>
      </c>
    </row>
    <row r="4" spans="1:16">
      <c r="B4" t="s">
        <v>113</v>
      </c>
      <c r="C4">
        <v>1256.9361200000001</v>
      </c>
      <c r="D4">
        <v>20.922294399999998</v>
      </c>
      <c r="F4" t="s">
        <v>105</v>
      </c>
      <c r="G4" t="s">
        <v>106</v>
      </c>
      <c r="H4">
        <v>3</v>
      </c>
      <c r="I4">
        <f>D4/H4</f>
        <v>6.9740981333333325</v>
      </c>
      <c r="J4">
        <f>I4*K4</f>
        <v>711.07904567466653</v>
      </c>
      <c r="K4">
        <v>101.96</v>
      </c>
      <c r="L4">
        <f>5/(60^2)</f>
        <v>1.3888888888888889E-3</v>
      </c>
      <c r="M4" s="51">
        <f>J4*L4</f>
        <v>0.98760978565925905</v>
      </c>
      <c r="N4">
        <v>56</v>
      </c>
      <c r="O4" s="16">
        <f>M4*24</f>
        <v>23.702634855822218</v>
      </c>
    </row>
    <row r="5" spans="1:16">
      <c r="M5" s="51"/>
    </row>
    <row r="6" spans="1:16">
      <c r="A6" t="s">
        <v>114</v>
      </c>
      <c r="M6" s="51"/>
    </row>
    <row r="7" spans="1:16">
      <c r="B7" t="s">
        <v>115</v>
      </c>
      <c r="C7">
        <v>6.3250299999999995E-2</v>
      </c>
      <c r="D7">
        <v>1.9724999999999999E-3</v>
      </c>
      <c r="F7" t="s">
        <v>105</v>
      </c>
      <c r="G7" t="s">
        <v>106</v>
      </c>
      <c r="H7">
        <v>2</v>
      </c>
      <c r="I7">
        <f>SUM(D7:D9)/H7</f>
        <v>59.965564400000005</v>
      </c>
      <c r="J7">
        <f>I7*K7</f>
        <v>6114.0889462240002</v>
      </c>
      <c r="K7">
        <v>101.96</v>
      </c>
      <c r="L7">
        <f t="shared" ref="L7:L22" si="0">5/(60^2)</f>
        <v>1.3888888888888889E-3</v>
      </c>
      <c r="M7" s="51">
        <f>J7*L7</f>
        <v>8.4917902030888897</v>
      </c>
      <c r="N7">
        <v>56</v>
      </c>
      <c r="O7">
        <f>M7*24</f>
        <v>203.80296487413335</v>
      </c>
    </row>
    <row r="8" spans="1:16">
      <c r="B8" t="s">
        <v>116</v>
      </c>
      <c r="C8">
        <v>1925.2951800000001</v>
      </c>
      <c r="D8">
        <v>30.0523092</v>
      </c>
      <c r="M8" s="51"/>
    </row>
    <row r="9" spans="1:16">
      <c r="B9" t="s">
        <v>117</v>
      </c>
      <c r="C9">
        <v>3063.1719199999998</v>
      </c>
      <c r="D9">
        <v>89.876847100000006</v>
      </c>
      <c r="M9" s="51"/>
    </row>
    <row r="10" spans="1:16">
      <c r="M10" s="51"/>
    </row>
    <row r="11" spans="1:16">
      <c r="A11" t="s">
        <v>118</v>
      </c>
      <c r="M11" s="51"/>
    </row>
    <row r="12" spans="1:16">
      <c r="B12" t="s">
        <v>115</v>
      </c>
      <c r="C12">
        <v>6.3195749999999995E-2</v>
      </c>
      <c r="D12">
        <v>1.9708E-3</v>
      </c>
      <c r="F12" t="s">
        <v>105</v>
      </c>
      <c r="G12" t="s">
        <v>106</v>
      </c>
      <c r="H12">
        <v>2</v>
      </c>
      <c r="I12">
        <f>SUM(D12:D14)/H12</f>
        <v>39.740192550000003</v>
      </c>
      <c r="J12">
        <f>I12*K12</f>
        <v>4051.9100323980001</v>
      </c>
      <c r="K12">
        <v>101.96</v>
      </c>
      <c r="L12">
        <f t="shared" si="0"/>
        <v>1.3888888888888889E-3</v>
      </c>
      <c r="M12" s="51">
        <f t="shared" ref="M12:M17" si="1">J12*L12</f>
        <v>5.6276528227750005</v>
      </c>
      <c r="N12">
        <v>56</v>
      </c>
      <c r="O12">
        <f>M12*24</f>
        <v>135.0636677466</v>
      </c>
    </row>
    <row r="13" spans="1:16">
      <c r="B13" t="s">
        <v>116</v>
      </c>
      <c r="C13">
        <v>1061.5042000000001</v>
      </c>
      <c r="D13">
        <v>16.569226799999999</v>
      </c>
      <c r="M13" s="51"/>
    </row>
    <row r="14" spans="1:16">
      <c r="B14" t="s">
        <v>117</v>
      </c>
      <c r="C14">
        <v>2144.0633800000001</v>
      </c>
      <c r="D14">
        <v>62.909187500000002</v>
      </c>
      <c r="M14" s="51"/>
    </row>
    <row r="15" spans="1:16">
      <c r="M15" s="51"/>
    </row>
    <row r="16" spans="1:16">
      <c r="A16" t="s">
        <v>119</v>
      </c>
      <c r="M16" s="51"/>
    </row>
    <row r="17" spans="1:17">
      <c r="B17" t="s">
        <v>115</v>
      </c>
      <c r="C17">
        <v>6.3086100000000006E-2</v>
      </c>
      <c r="D17">
        <v>1.9673799999999999E-3</v>
      </c>
      <c r="F17" t="s">
        <v>105</v>
      </c>
      <c r="G17" t="s">
        <v>106</v>
      </c>
      <c r="H17">
        <v>2</v>
      </c>
      <c r="I17">
        <f>SUM(D17:D19)/H17</f>
        <v>25.584280645</v>
      </c>
      <c r="J17">
        <f>I17*K17</f>
        <v>2608.5732545641999</v>
      </c>
      <c r="K17">
        <v>101.96</v>
      </c>
      <c r="L17">
        <f t="shared" si="0"/>
        <v>1.3888888888888889E-3</v>
      </c>
      <c r="M17" s="51">
        <f t="shared" si="1"/>
        <v>3.6230184091169444</v>
      </c>
      <c r="N17">
        <v>56</v>
      </c>
      <c r="O17">
        <f>M17*24</f>
        <v>86.952441818806662</v>
      </c>
    </row>
    <row r="18" spans="1:17">
      <c r="B18" t="s">
        <v>116</v>
      </c>
      <c r="C18">
        <v>456.93519700000002</v>
      </c>
      <c r="D18">
        <v>7.1323909099999998</v>
      </c>
      <c r="M18" s="51"/>
    </row>
    <row r="19" spans="1:17">
      <c r="B19" t="s">
        <v>117</v>
      </c>
      <c r="C19">
        <v>1500.7684200000001</v>
      </c>
      <c r="D19">
        <v>44.034202999999998</v>
      </c>
      <c r="M19" s="51"/>
    </row>
    <row r="20" spans="1:17">
      <c r="M20" s="51"/>
      <c r="Q20">
        <f>SUM(O4:O17)</f>
        <v>449.52170929536226</v>
      </c>
    </row>
    <row r="21" spans="1:17">
      <c r="A21" t="s">
        <v>120</v>
      </c>
      <c r="M21" s="51"/>
    </row>
    <row r="22" spans="1:17">
      <c r="B22" t="s">
        <v>121</v>
      </c>
      <c r="C22">
        <v>134963.109</v>
      </c>
      <c r="D22">
        <v>4818.3213900000001</v>
      </c>
      <c r="F22" t="s">
        <v>107</v>
      </c>
      <c r="G22" t="s">
        <v>108</v>
      </c>
      <c r="H22">
        <v>1</v>
      </c>
      <c r="I22">
        <f>(2*D22)/H22</f>
        <v>9636.6427800000001</v>
      </c>
      <c r="J22">
        <f>I22*K22</f>
        <v>1590046.0586999999</v>
      </c>
      <c r="K22">
        <v>165</v>
      </c>
      <c r="L22">
        <f t="shared" si="0"/>
        <v>1.3888888888888889E-3</v>
      </c>
      <c r="M22" s="51">
        <f>J22*L22</f>
        <v>2208.39730375</v>
      </c>
      <c r="O22">
        <f>M22*24</f>
        <v>53001.53529</v>
      </c>
    </row>
    <row r="23" spans="1:17">
      <c r="B23" t="s">
        <v>122</v>
      </c>
      <c r="C23">
        <v>22645.313099999999</v>
      </c>
      <c r="D23">
        <v>514.55160100000001</v>
      </c>
      <c r="M23" s="51"/>
    </row>
    <row r="24" spans="1:17">
      <c r="B24" t="s">
        <v>123</v>
      </c>
      <c r="C24">
        <v>3.9907051400000002</v>
      </c>
      <c r="D24">
        <v>0.24875427999999999</v>
      </c>
      <c r="M24" s="51"/>
    </row>
    <row r="25" spans="1:17">
      <c r="B25" t="s">
        <v>124</v>
      </c>
      <c r="C25">
        <v>0</v>
      </c>
      <c r="D25">
        <v>0</v>
      </c>
      <c r="M25" s="51"/>
    </row>
    <row r="26" spans="1:17">
      <c r="B26" t="s">
        <v>125</v>
      </c>
      <c r="C26">
        <v>5820.70064</v>
      </c>
      <c r="D26">
        <v>2887.4241699999998</v>
      </c>
      <c r="M26" s="51"/>
    </row>
    <row r="27" spans="1:17">
      <c r="B27" t="s">
        <v>59</v>
      </c>
      <c r="C27">
        <v>115742.55</v>
      </c>
      <c r="D27">
        <v>6424.6878200000001</v>
      </c>
    </row>
    <row r="29" spans="1:17">
      <c r="A29" t="s">
        <v>126</v>
      </c>
    </row>
    <row r="30" spans="1:17">
      <c r="B30" t="s">
        <v>117</v>
      </c>
      <c r="C30">
        <v>6.8354325999999999</v>
      </c>
      <c r="D30">
        <v>0.20055914</v>
      </c>
      <c r="F30" t="s">
        <v>127</v>
      </c>
      <c r="G30" t="s">
        <v>128</v>
      </c>
      <c r="H30">
        <v>1</v>
      </c>
      <c r="I30">
        <f>D30/H30</f>
        <v>0.20055914</v>
      </c>
      <c r="J30" s="51">
        <f>I30*K30</f>
        <v>16.323508404599998</v>
      </c>
      <c r="K30">
        <v>81.39</v>
      </c>
    </row>
    <row r="33" spans="1:19">
      <c r="C33" s="44" t="s">
        <v>10</v>
      </c>
      <c r="D33" s="40">
        <v>392.73</v>
      </c>
      <c r="E33" s="40" t="s">
        <v>88</v>
      </c>
      <c r="F33" s="41">
        <v>55</v>
      </c>
      <c r="G33" s="42" t="s">
        <v>7</v>
      </c>
      <c r="H33" s="43">
        <f>F33*D33</f>
        <v>21600.15</v>
      </c>
      <c r="I33" s="43">
        <f>H33*350</f>
        <v>7560052.5000000009</v>
      </c>
    </row>
    <row r="34" spans="1:19">
      <c r="C34" s="44" t="s">
        <v>84</v>
      </c>
      <c r="D34" s="50">
        <v>6200000</v>
      </c>
      <c r="E34" s="40" t="s">
        <v>165</v>
      </c>
      <c r="F34" s="41">
        <v>3.2</v>
      </c>
      <c r="G34" s="42" t="s">
        <v>7</v>
      </c>
      <c r="H34" s="43">
        <f>D34*F34</f>
        <v>19840000</v>
      </c>
      <c r="I34" s="43">
        <f>H34</f>
        <v>19840000</v>
      </c>
    </row>
    <row r="35" spans="1:19">
      <c r="C35" s="45" t="s">
        <v>2</v>
      </c>
      <c r="D35" s="40">
        <f>'Catalyst '!O22</f>
        <v>53001.53529</v>
      </c>
      <c r="E35" s="40" t="s">
        <v>88</v>
      </c>
      <c r="F35" s="41">
        <v>1.33</v>
      </c>
      <c r="G35" s="42" t="s">
        <v>7</v>
      </c>
      <c r="H35" s="43">
        <f>F35*D35</f>
        <v>70492.041935700006</v>
      </c>
      <c r="I35" s="43">
        <f>H35*350</f>
        <v>24672214.677495003</v>
      </c>
    </row>
    <row r="36" spans="1:19">
      <c r="C36" s="46" t="s">
        <v>3</v>
      </c>
      <c r="D36" s="40">
        <f>'Catalyst '!Q20</f>
        <v>449.52170929536226</v>
      </c>
      <c r="E36" s="40" t="s">
        <v>88</v>
      </c>
      <c r="F36" s="41">
        <v>2548.75</v>
      </c>
      <c r="G36" s="42" t="s">
        <v>12</v>
      </c>
      <c r="H36" s="43">
        <f>D36*F36/110</f>
        <v>10415.622332423223</v>
      </c>
      <c r="I36" s="43">
        <f>H36*350</f>
        <v>3645467.816348128</v>
      </c>
    </row>
    <row r="38" spans="1:19">
      <c r="A38" s="57" t="s">
        <v>15</v>
      </c>
      <c r="B38" s="56">
        <v>0</v>
      </c>
      <c r="C38" s="56">
        <v>3</v>
      </c>
      <c r="D38" s="56">
        <v>4</v>
      </c>
      <c r="E38" s="56">
        <v>5</v>
      </c>
      <c r="F38" s="56">
        <v>6</v>
      </c>
      <c r="G38" s="56">
        <v>7</v>
      </c>
      <c r="H38" s="56">
        <v>8</v>
      </c>
      <c r="I38" s="56">
        <v>9</v>
      </c>
      <c r="J38" s="56">
        <v>10</v>
      </c>
      <c r="K38" s="56">
        <v>11</v>
      </c>
      <c r="L38" s="56">
        <v>12</v>
      </c>
      <c r="M38" s="56">
        <v>13</v>
      </c>
      <c r="N38" s="56">
        <v>14</v>
      </c>
      <c r="O38" s="56">
        <v>15</v>
      </c>
      <c r="P38" s="56">
        <v>16</v>
      </c>
      <c r="Q38" s="56">
        <v>17</v>
      </c>
      <c r="R38" s="56">
        <v>18</v>
      </c>
      <c r="S38" s="56">
        <v>19</v>
      </c>
    </row>
    <row r="39" spans="1:19">
      <c r="A39" s="55" t="s">
        <v>184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2"/>
      <c r="R39" s="52"/>
      <c r="S39" s="52"/>
    </row>
    <row r="40" spans="1:19">
      <c r="A40" s="54" t="s">
        <v>183</v>
      </c>
      <c r="B40" s="53"/>
      <c r="C40" s="53">
        <v>7560053</v>
      </c>
      <c r="D40" s="53">
        <v>7560053</v>
      </c>
      <c r="E40" s="53">
        <v>7560053</v>
      </c>
      <c r="F40" s="53">
        <v>7560053</v>
      </c>
      <c r="G40" s="53">
        <v>7560053</v>
      </c>
      <c r="H40" s="53">
        <v>7560053</v>
      </c>
      <c r="I40" s="53">
        <v>7560053</v>
      </c>
      <c r="J40" s="53">
        <v>7560053</v>
      </c>
      <c r="K40" s="53">
        <v>7560053</v>
      </c>
      <c r="L40" s="53">
        <v>7560053</v>
      </c>
      <c r="M40" s="53">
        <v>7560053</v>
      </c>
      <c r="N40" s="53">
        <v>7560053</v>
      </c>
      <c r="O40" s="53">
        <v>7560053</v>
      </c>
      <c r="P40" s="53">
        <v>7560053</v>
      </c>
      <c r="Q40" s="52">
        <v>7560053</v>
      </c>
      <c r="R40" s="52">
        <v>7560053</v>
      </c>
      <c r="S40" s="52">
        <v>7560053</v>
      </c>
    </row>
    <row r="41" spans="1:19">
      <c r="A41" s="54" t="s">
        <v>182</v>
      </c>
      <c r="B41" s="53"/>
      <c r="C41" s="53">
        <v>19840000</v>
      </c>
      <c r="D41" s="53"/>
      <c r="E41" s="53"/>
      <c r="F41" s="53"/>
      <c r="G41" s="53"/>
      <c r="H41" s="53">
        <v>19840000</v>
      </c>
      <c r="I41" s="53"/>
      <c r="J41" s="53"/>
      <c r="K41" s="53"/>
      <c r="L41" s="53"/>
      <c r="M41" s="53"/>
      <c r="N41" s="53">
        <v>19840000</v>
      </c>
      <c r="O41" s="53"/>
      <c r="P41" s="53"/>
      <c r="Q41" s="52"/>
      <c r="R41" s="52"/>
      <c r="S41" s="52"/>
    </row>
    <row r="42" spans="1:19">
      <c r="A42" s="54" t="s">
        <v>181</v>
      </c>
      <c r="B42" s="53"/>
      <c r="C42" s="53">
        <v>70492</v>
      </c>
      <c r="D42" s="53"/>
      <c r="E42" s="53">
        <v>70492</v>
      </c>
      <c r="F42" s="53"/>
      <c r="G42" s="53">
        <v>70492</v>
      </c>
      <c r="H42" s="53"/>
      <c r="I42" s="53">
        <v>70492</v>
      </c>
      <c r="J42" s="53"/>
      <c r="K42" s="53">
        <v>70492</v>
      </c>
      <c r="L42" s="53"/>
      <c r="M42" s="53">
        <v>70492</v>
      </c>
      <c r="N42" s="53"/>
      <c r="O42" s="53">
        <v>70492</v>
      </c>
      <c r="P42" s="53"/>
      <c r="Q42" s="52">
        <v>70492</v>
      </c>
      <c r="R42" s="52"/>
      <c r="S42" s="52">
        <v>70492</v>
      </c>
    </row>
    <row r="43" spans="1:19">
      <c r="A43" s="54" t="s">
        <v>105</v>
      </c>
      <c r="B43" s="53"/>
      <c r="C43" s="53">
        <v>10416</v>
      </c>
      <c r="D43" s="53">
        <v>10416</v>
      </c>
      <c r="E43" s="53">
        <v>10416</v>
      </c>
      <c r="F43" s="53">
        <v>10416</v>
      </c>
      <c r="G43" s="53">
        <v>10416</v>
      </c>
      <c r="H43" s="53">
        <v>10416</v>
      </c>
      <c r="I43" s="53">
        <v>10416</v>
      </c>
      <c r="J43" s="53">
        <v>10416</v>
      </c>
      <c r="K43" s="53">
        <v>10416</v>
      </c>
      <c r="L43" s="53">
        <v>10416</v>
      </c>
      <c r="M43" s="53">
        <v>10416</v>
      </c>
      <c r="N43" s="53">
        <v>10416</v>
      </c>
      <c r="O43" s="53">
        <v>10416</v>
      </c>
      <c r="P43" s="53">
        <v>10416</v>
      </c>
      <c r="Q43" s="52">
        <v>10416</v>
      </c>
      <c r="R43" s="52">
        <v>10416</v>
      </c>
      <c r="S43" s="52">
        <v>10416</v>
      </c>
    </row>
    <row r="44" spans="1:19"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2"/>
      <c r="R44" s="52"/>
      <c r="S44" s="52"/>
    </row>
    <row r="45" spans="1:19">
      <c r="A45" s="54" t="s">
        <v>180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2"/>
      <c r="R45" s="52"/>
      <c r="S45" s="52"/>
    </row>
    <row r="46" spans="1:19">
      <c r="A46" s="54" t="s">
        <v>179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2"/>
      <c r="R46" s="52"/>
      <c r="S46" s="52"/>
    </row>
    <row r="47" spans="1:19" ht="15.75">
      <c r="A47" s="54" t="s">
        <v>178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2"/>
      <c r="R47" s="52"/>
      <c r="S47" s="52"/>
    </row>
    <row r="48" spans="1:19"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2"/>
      <c r="R48" s="52"/>
      <c r="S48" s="52"/>
    </row>
    <row r="49" spans="1:19">
      <c r="A49" s="54" t="s">
        <v>85</v>
      </c>
      <c r="B49" s="53"/>
      <c r="C49" s="53">
        <f>SUM(C40:C45)*[1]Sheet1!C14</f>
        <v>30029188.070647001</v>
      </c>
      <c r="D49" s="53">
        <f>SUM(D40:D45)*[1]Sheet1!D14</f>
        <v>8520629.5553318914</v>
      </c>
      <c r="E49" s="53">
        <f>SUM(E40:E45)*[1]Sheet1!E14</f>
        <v>8857967.9900374021</v>
      </c>
      <c r="F49" s="53">
        <f>SUM(F40:F45)*[1]Sheet1!F14</f>
        <v>9039535.8952516038</v>
      </c>
      <c r="G49" s="53">
        <f>SUM(G40:G45)*[1]Sheet1!G14</f>
        <v>9397418.2406306826</v>
      </c>
      <c r="H49" s="53">
        <f>SUM(H40:H45)*[1]Sheet1!H14</f>
        <v>34722762.046002738</v>
      </c>
      <c r="I49" s="53">
        <f>SUM(I40:I45)*[1]Sheet1!I14</f>
        <v>9969721.0114850905</v>
      </c>
      <c r="J49" s="53">
        <f>SUM(J40:J45)*[1]Sheet1!J14</f>
        <v>10174077.288416918</v>
      </c>
      <c r="K49" s="53">
        <f>SUM(K40:K45)*[1]Sheet1!K14</f>
        <v>10576877.021084532</v>
      </c>
      <c r="L49" s="53">
        <f>SUM(L40:L45)*[1]Sheet1!L14</f>
        <v>10793678.595281508</v>
      </c>
      <c r="M49" s="53">
        <f>SUM(M40:M45)*[1]Sheet1!M14</f>
        <v>11221008.831668582</v>
      </c>
      <c r="N49" s="53">
        <f>SUM(N40:N45)*[1]Sheet1!N14</f>
        <v>41460793.762859575</v>
      </c>
      <c r="O49" s="53">
        <f>SUM(O40:O45)*[1]Sheet1!O14</f>
        <v>11904368.2695172</v>
      </c>
      <c r="P49" s="53">
        <f>SUM(P40:P45)*[1]Sheet1!P14</f>
        <v>12148380.351297766</v>
      </c>
      <c r="Q49" s="52">
        <f>SUM(Q40:Q45)*[1]Sheet1!Q14</f>
        <v>12629344.297130799</v>
      </c>
      <c r="R49" s="52">
        <f>SUM(R40:R45)*[1]Sheet1!R14</f>
        <v>12888216.714691799</v>
      </c>
      <c r="S49" s="52">
        <f>SUM(S40:S45)*[1]Sheet1!S14</f>
        <v>13398471.364826065</v>
      </c>
    </row>
    <row r="55" spans="1:19" ht="52.5">
      <c r="C55" s="65" t="s">
        <v>177</v>
      </c>
      <c r="D55" s="65" t="s">
        <v>197</v>
      </c>
      <c r="E55" s="65" t="s">
        <v>51</v>
      </c>
      <c r="F55" s="65" t="s">
        <v>198</v>
      </c>
      <c r="G55" s="65" t="s">
        <v>194</v>
      </c>
      <c r="H55" s="74" t="s">
        <v>199</v>
      </c>
      <c r="I55" s="74" t="s">
        <v>315</v>
      </c>
    </row>
    <row r="56" spans="1:19" ht="26.25">
      <c r="C56" s="66" t="s">
        <v>183</v>
      </c>
      <c r="D56" s="69">
        <v>392.73</v>
      </c>
      <c r="E56" s="69" t="s">
        <v>195</v>
      </c>
      <c r="F56" s="70">
        <v>55</v>
      </c>
      <c r="G56" s="67">
        <v>7560053</v>
      </c>
      <c r="H56" s="67" t="s">
        <v>200</v>
      </c>
      <c r="I56" s="67">
        <f>G56*1.1255</f>
        <v>8508839.6514999997</v>
      </c>
    </row>
    <row r="57" spans="1:19" ht="26.25">
      <c r="C57" s="66" t="s">
        <v>182</v>
      </c>
      <c r="D57" s="71">
        <v>6200000</v>
      </c>
      <c r="E57" s="69" t="s">
        <v>196</v>
      </c>
      <c r="F57" s="70">
        <v>3.2</v>
      </c>
      <c r="G57" s="67">
        <v>19840000</v>
      </c>
      <c r="H57" s="67" t="s">
        <v>201</v>
      </c>
      <c r="I57" s="67">
        <f>G57*1.1255/6</f>
        <v>3721653.3333333335</v>
      </c>
    </row>
    <row r="58" spans="1:19" ht="26.25">
      <c r="C58" s="66" t="s">
        <v>181</v>
      </c>
      <c r="D58" s="69">
        <v>53000</v>
      </c>
      <c r="E58" s="69" t="s">
        <v>195</v>
      </c>
      <c r="F58" s="70">
        <v>1.33</v>
      </c>
      <c r="G58" s="67">
        <v>70492</v>
      </c>
      <c r="H58" s="67" t="s">
        <v>202</v>
      </c>
      <c r="I58" s="67">
        <f>G58*1.1255/2</f>
        <v>39669.373</v>
      </c>
    </row>
    <row r="59" spans="1:19" ht="26.25">
      <c r="C59" s="66" t="s">
        <v>105</v>
      </c>
      <c r="D59" s="69">
        <v>450</v>
      </c>
      <c r="E59" s="69" t="s">
        <v>195</v>
      </c>
      <c r="F59" s="70">
        <v>23.17</v>
      </c>
      <c r="G59" s="67">
        <v>10416</v>
      </c>
      <c r="H59" s="67" t="s">
        <v>203</v>
      </c>
      <c r="I59" s="67">
        <f>G59*1.1255</f>
        <v>11723.207999999999</v>
      </c>
    </row>
    <row r="60" spans="1:19" ht="26.25">
      <c r="C60" s="65" t="s">
        <v>85</v>
      </c>
      <c r="D60" s="65"/>
      <c r="E60" s="65"/>
      <c r="F60" s="72"/>
      <c r="G60" s="68">
        <f>SUBTOTAL(109,[Cost 1st year])</f>
        <v>27480961</v>
      </c>
      <c r="H60" s="65"/>
      <c r="I60" s="149">
        <f>SUM([Cost 4th Year])</f>
        <v>12281885.565833334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1:U47"/>
  <sheetViews>
    <sheetView workbookViewId="0">
      <selection activeCell="E13" sqref="E13"/>
    </sheetView>
  </sheetViews>
  <sheetFormatPr defaultRowHeight="15"/>
  <cols>
    <col min="2" max="2" width="14.5703125" customWidth="1"/>
    <col min="3" max="4" width="13.140625" customWidth="1"/>
    <col min="5" max="5" width="14.140625" customWidth="1"/>
    <col min="6" max="6" width="12.85546875" customWidth="1"/>
    <col min="7" max="7" width="13.85546875" customWidth="1"/>
    <col min="8" max="8" width="12.7109375" customWidth="1"/>
    <col min="9" max="9" width="13" customWidth="1"/>
    <col min="10" max="11" width="12.42578125" customWidth="1"/>
    <col min="12" max="12" width="14" customWidth="1"/>
    <col min="13" max="13" width="13.425781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  <col min="20" max="20" width="12.7109375" bestFit="1" customWidth="1"/>
  </cols>
  <sheetData>
    <row r="1" spans="1:21">
      <c r="C1" s="5" t="s">
        <v>14</v>
      </c>
    </row>
    <row r="2" spans="1:21">
      <c r="C2" s="5"/>
    </row>
    <row r="3" spans="1:21">
      <c r="A3" t="s">
        <v>15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21">
      <c r="A5" s="5" t="s">
        <v>16</v>
      </c>
      <c r="B5" s="30">
        <v>-50000000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 spans="1:21">
      <c r="A7" s="6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 spans="1:21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1:21">
      <c r="A9" t="s">
        <v>18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>
      <c r="A10" t="s">
        <v>19</v>
      </c>
      <c r="B10" s="30"/>
      <c r="C10" s="31">
        <f>-B5</f>
        <v>50000000</v>
      </c>
      <c r="D10" s="31">
        <f>C10*1.02</f>
        <v>51000000</v>
      </c>
      <c r="E10" s="31">
        <f t="shared" ref="E10:S10" si="0">D10*1.02</f>
        <v>52020000</v>
      </c>
      <c r="F10" s="31">
        <f t="shared" si="0"/>
        <v>53060400</v>
      </c>
      <c r="G10" s="31">
        <f t="shared" si="0"/>
        <v>54121608</v>
      </c>
      <c r="H10" s="31">
        <f t="shared" si="0"/>
        <v>55204040.160000004</v>
      </c>
      <c r="I10" s="31">
        <f t="shared" si="0"/>
        <v>56308120.963200003</v>
      </c>
      <c r="J10" s="31">
        <f t="shared" si="0"/>
        <v>57434283.382464007</v>
      </c>
      <c r="K10" s="31">
        <f t="shared" si="0"/>
        <v>58582969.050113291</v>
      </c>
      <c r="L10" s="31">
        <f t="shared" si="0"/>
        <v>59754628.43111556</v>
      </c>
      <c r="M10" s="31">
        <f t="shared" si="0"/>
        <v>60949720.999737874</v>
      </c>
      <c r="N10" s="31">
        <f t="shared" si="0"/>
        <v>62168715.41973263</v>
      </c>
      <c r="O10" s="31">
        <f t="shared" si="0"/>
        <v>63412089.728127286</v>
      </c>
      <c r="P10" s="31">
        <f t="shared" si="0"/>
        <v>64680331.522689834</v>
      </c>
      <c r="Q10" s="31">
        <f t="shared" si="0"/>
        <v>65973938.153143629</v>
      </c>
      <c r="R10" s="31">
        <f t="shared" si="0"/>
        <v>67293416.916206509</v>
      </c>
      <c r="S10" s="31">
        <f t="shared" si="0"/>
        <v>68639285.254530638</v>
      </c>
      <c r="T10" s="30"/>
      <c r="U10" s="30"/>
    </row>
    <row r="11" spans="1:21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1">
      <c r="A12" s="6" t="s">
        <v>20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 spans="1:21">
      <c r="B13" s="30"/>
      <c r="C13" s="30">
        <f>PMT(8%,17,$B$5,0,C3)</f>
        <v>5075436.6434587557</v>
      </c>
      <c r="D13" s="30">
        <f>PMT(8%,17,$B$5,0,D3)</f>
        <v>5075436.6434587557</v>
      </c>
      <c r="E13" s="30">
        <f>PMT(8%,17,$B$5,0,E3)</f>
        <v>5075436.6434587557</v>
      </c>
      <c r="F13" s="30">
        <f t="shared" ref="F13:S13" si="1">PMT(8%,17,$B$5,0,F3)</f>
        <v>5075436.6434587557</v>
      </c>
      <c r="G13" s="30">
        <f t="shared" si="1"/>
        <v>5075436.6434587557</v>
      </c>
      <c r="H13" s="30">
        <f t="shared" si="1"/>
        <v>5075436.6434587557</v>
      </c>
      <c r="I13" s="30">
        <f t="shared" si="1"/>
        <v>5075436.6434587557</v>
      </c>
      <c r="J13" s="30">
        <f t="shared" si="1"/>
        <v>5075436.6434587557</v>
      </c>
      <c r="K13" s="30">
        <f t="shared" si="1"/>
        <v>5075436.6434587557</v>
      </c>
      <c r="L13" s="30">
        <f t="shared" si="1"/>
        <v>5075436.6434587557</v>
      </c>
      <c r="M13" s="30">
        <f t="shared" si="1"/>
        <v>5075436.6434587557</v>
      </c>
      <c r="N13" s="30">
        <f t="shared" si="1"/>
        <v>5075436.6434587557</v>
      </c>
      <c r="O13" s="30">
        <f t="shared" si="1"/>
        <v>5075436.6434587557</v>
      </c>
      <c r="P13" s="30">
        <f t="shared" si="1"/>
        <v>5075436.6434587557</v>
      </c>
      <c r="Q13" s="30">
        <f t="shared" si="1"/>
        <v>5075436.6434587557</v>
      </c>
      <c r="R13" s="30">
        <f t="shared" si="1"/>
        <v>5075436.6434587557</v>
      </c>
      <c r="S13" s="30">
        <f t="shared" si="1"/>
        <v>5075436.6434587557</v>
      </c>
      <c r="T13" s="30">
        <f>SUM(B13:S13)</f>
        <v>86282422.93879883</v>
      </c>
      <c r="U13" s="30"/>
    </row>
    <row r="14" spans="1:21">
      <c r="A14" s="7" t="s">
        <v>21</v>
      </c>
      <c r="B14" s="30"/>
      <c r="C14" s="30">
        <f>PPMT(8%,C3,17,$B$5,0)</f>
        <v>1481471.5749354565</v>
      </c>
      <c r="D14" s="30">
        <f>PPMT(8%,D3,17,$B$5,0)</f>
        <v>1599989.3009302933</v>
      </c>
      <c r="E14" s="30">
        <f t="shared" ref="E14:S14" si="2">PPMT(8%,E3,17,$B$5,0)</f>
        <v>1727988.4450047167</v>
      </c>
      <c r="F14" s="30">
        <f t="shared" si="2"/>
        <v>1866227.5206050943</v>
      </c>
      <c r="G14" s="30">
        <f t="shared" si="2"/>
        <v>2015525.7222535016</v>
      </c>
      <c r="H14" s="30">
        <f t="shared" si="2"/>
        <v>2176767.7800337817</v>
      </c>
      <c r="I14" s="30">
        <f t="shared" si="2"/>
        <v>2350909.2024364839</v>
      </c>
      <c r="J14" s="30">
        <f t="shared" si="2"/>
        <v>2538981.9386314028</v>
      </c>
      <c r="K14" s="30">
        <f t="shared" si="2"/>
        <v>2742100.4937219154</v>
      </c>
      <c r="L14" s="30">
        <f t="shared" si="2"/>
        <v>2961468.5332196685</v>
      </c>
      <c r="M14" s="30">
        <f t="shared" si="2"/>
        <v>3198386.0158772422</v>
      </c>
      <c r="N14" s="30">
        <f t="shared" si="2"/>
        <v>3454256.8971474217</v>
      </c>
      <c r="O14" s="30">
        <f t="shared" si="2"/>
        <v>3730597.4489192152</v>
      </c>
      <c r="P14" s="30">
        <f t="shared" si="2"/>
        <v>4029045.2448327523</v>
      </c>
      <c r="Q14" s="30">
        <f t="shared" si="2"/>
        <v>4351368.8644193728</v>
      </c>
      <c r="R14" s="30">
        <f t="shared" si="2"/>
        <v>4699478.3735729223</v>
      </c>
      <c r="S14" s="30">
        <f t="shared" si="2"/>
        <v>5075436.6434587566</v>
      </c>
      <c r="T14" s="30">
        <f>SUM(B14:S14)</f>
        <v>49999999.999999993</v>
      </c>
      <c r="U14" s="30"/>
    </row>
    <row r="15" spans="1:21">
      <c r="A15" t="s">
        <v>22</v>
      </c>
      <c r="B15" s="30"/>
      <c r="C15" s="30">
        <f>IPMT(0.06,C3,17,$B$5,0)</f>
        <v>3000000</v>
      </c>
      <c r="D15" s="30">
        <f>IPMT(0.06,D3,17,$B$5,0)</f>
        <v>2893665.5873053493</v>
      </c>
      <c r="E15" s="30">
        <f>IPMT(0.06,E3,17,$B$5,0)</f>
        <v>2780951.1098490208</v>
      </c>
      <c r="F15" s="30">
        <f t="shared" ref="F15:S15" si="3">IPMT(0.06,F3,17,$B$5,0)</f>
        <v>2661473.7637453121</v>
      </c>
      <c r="G15" s="30">
        <f t="shared" si="3"/>
        <v>2534827.7768753818</v>
      </c>
      <c r="H15" s="30">
        <f t="shared" si="3"/>
        <v>2400583.0307932547</v>
      </c>
      <c r="I15" s="30">
        <f t="shared" si="3"/>
        <v>2258283.5999462008</v>
      </c>
      <c r="J15" s="30">
        <f t="shared" si="3"/>
        <v>2107446.2032483229</v>
      </c>
      <c r="K15" s="30">
        <f t="shared" si="3"/>
        <v>1947558.5627485726</v>
      </c>
      <c r="L15" s="30">
        <f t="shared" si="3"/>
        <v>1778077.6638188371</v>
      </c>
      <c r="M15" s="30">
        <f t="shared" si="3"/>
        <v>1598427.9109533178</v>
      </c>
      <c r="N15" s="30">
        <f t="shared" si="3"/>
        <v>1407999.1729158671</v>
      </c>
      <c r="O15" s="30">
        <f t="shared" si="3"/>
        <v>1206144.7105961698</v>
      </c>
      <c r="P15" s="30">
        <f t="shared" si="3"/>
        <v>992178.98053729022</v>
      </c>
      <c r="Q15" s="30">
        <f t="shared" si="3"/>
        <v>765375.30667487788</v>
      </c>
      <c r="R15" s="30">
        <f t="shared" si="3"/>
        <v>524963.41238072107</v>
      </c>
      <c r="S15" s="30">
        <f t="shared" si="3"/>
        <v>270126.80442891474</v>
      </c>
      <c r="T15" s="30">
        <f>SUM(B15:S15)</f>
        <v>31128083.596817415</v>
      </c>
      <c r="U15" s="30"/>
    </row>
    <row r="16" spans="1:21">
      <c r="A16" t="s">
        <v>23</v>
      </c>
      <c r="B16" s="30"/>
      <c r="C16" s="30">
        <v>13432806</v>
      </c>
      <c r="D16" s="30">
        <f>C16*1.03</f>
        <v>13835790.18</v>
      </c>
      <c r="E16" s="30">
        <f t="shared" ref="E16:S16" si="4">D16*1.03</f>
        <v>14250863.885400001</v>
      </c>
      <c r="F16" s="30">
        <f t="shared" si="4"/>
        <v>14678389.801962001</v>
      </c>
      <c r="G16" s="30">
        <f t="shared" si="4"/>
        <v>15118741.496020861</v>
      </c>
      <c r="H16" s="30">
        <f t="shared" si="4"/>
        <v>15572303.740901487</v>
      </c>
      <c r="I16" s="30">
        <f t="shared" si="4"/>
        <v>16039472.853128532</v>
      </c>
      <c r="J16" s="30">
        <f t="shared" si="4"/>
        <v>16520657.038722388</v>
      </c>
      <c r="K16" s="30">
        <f t="shared" si="4"/>
        <v>17016276.749884062</v>
      </c>
      <c r="L16" s="30">
        <f t="shared" si="4"/>
        <v>17526765.052380584</v>
      </c>
      <c r="M16" s="30">
        <f t="shared" si="4"/>
        <v>18052568.003952004</v>
      </c>
      <c r="N16" s="30">
        <f t="shared" si="4"/>
        <v>18594145.044070564</v>
      </c>
      <c r="O16" s="30">
        <f t="shared" si="4"/>
        <v>19151969.395392682</v>
      </c>
      <c r="P16" s="30">
        <f t="shared" si="4"/>
        <v>19726528.477254465</v>
      </c>
      <c r="Q16" s="30">
        <f t="shared" si="4"/>
        <v>20318324.331572101</v>
      </c>
      <c r="R16" s="30">
        <f t="shared" si="4"/>
        <v>20927874.061519265</v>
      </c>
      <c r="S16" s="30">
        <f t="shared" si="4"/>
        <v>21555710.283364844</v>
      </c>
      <c r="T16" s="30"/>
      <c r="U16" s="30"/>
    </row>
    <row r="17" spans="1:21">
      <c r="A17" t="s">
        <v>24</v>
      </c>
      <c r="B17" s="30"/>
      <c r="C17" s="30">
        <v>116000</v>
      </c>
      <c r="D17" s="30">
        <f>1.02*C17</f>
        <v>118320</v>
      </c>
      <c r="E17" s="30">
        <f t="shared" ref="E17:S17" si="5">1.02*D17</f>
        <v>120686.40000000001</v>
      </c>
      <c r="F17" s="30">
        <f t="shared" si="5"/>
        <v>123100.12800000001</v>
      </c>
      <c r="G17" s="30">
        <f t="shared" si="5"/>
        <v>125562.13056000002</v>
      </c>
      <c r="H17" s="30">
        <f t="shared" si="5"/>
        <v>128073.37317120002</v>
      </c>
      <c r="I17" s="30">
        <f t="shared" si="5"/>
        <v>130634.84063462402</v>
      </c>
      <c r="J17" s="30">
        <f t="shared" si="5"/>
        <v>133247.53744731651</v>
      </c>
      <c r="K17" s="30">
        <f t="shared" si="5"/>
        <v>135912.48819626286</v>
      </c>
      <c r="L17" s="30">
        <f t="shared" si="5"/>
        <v>138630.73796018813</v>
      </c>
      <c r="M17" s="30">
        <f t="shared" si="5"/>
        <v>141403.3527193919</v>
      </c>
      <c r="N17" s="30">
        <f t="shared" si="5"/>
        <v>144231.41977377975</v>
      </c>
      <c r="O17" s="30">
        <f t="shared" si="5"/>
        <v>147116.04816925534</v>
      </c>
      <c r="P17" s="30">
        <f t="shared" si="5"/>
        <v>150058.36913264045</v>
      </c>
      <c r="Q17" s="30">
        <f t="shared" si="5"/>
        <v>153059.53651529326</v>
      </c>
      <c r="R17" s="30">
        <f t="shared" si="5"/>
        <v>156120.72724559912</v>
      </c>
      <c r="S17" s="30">
        <f t="shared" si="5"/>
        <v>159243.14179051112</v>
      </c>
      <c r="T17" s="30"/>
      <c r="U17" s="30"/>
    </row>
    <row r="18" spans="1:21">
      <c r="A18" t="s">
        <v>25</v>
      </c>
      <c r="B18" s="30"/>
      <c r="C18" s="30">
        <v>300000</v>
      </c>
      <c r="D18" s="30">
        <f t="shared" ref="D18:S19" si="6">1.02*C18</f>
        <v>306000</v>
      </c>
      <c r="E18" s="30">
        <f t="shared" si="6"/>
        <v>312120</v>
      </c>
      <c r="F18" s="30">
        <f t="shared" si="6"/>
        <v>318362.40000000002</v>
      </c>
      <c r="G18" s="30">
        <f t="shared" si="6"/>
        <v>324729.64800000004</v>
      </c>
      <c r="H18" s="30">
        <f t="shared" si="6"/>
        <v>331224.24096000002</v>
      </c>
      <c r="I18" s="30">
        <f t="shared" si="6"/>
        <v>337848.72577920003</v>
      </c>
      <c r="J18" s="30">
        <f t="shared" si="6"/>
        <v>344605.70029478404</v>
      </c>
      <c r="K18" s="30">
        <f t="shared" si="6"/>
        <v>351497.81430067972</v>
      </c>
      <c r="L18" s="30">
        <f t="shared" si="6"/>
        <v>358527.77058669331</v>
      </c>
      <c r="M18" s="30">
        <f t="shared" si="6"/>
        <v>365698.32599842717</v>
      </c>
      <c r="N18" s="30">
        <f t="shared" si="6"/>
        <v>373012.2925183957</v>
      </c>
      <c r="O18" s="30">
        <f t="shared" si="6"/>
        <v>380472.53836876363</v>
      </c>
      <c r="P18" s="30">
        <f t="shared" si="6"/>
        <v>388081.98913613893</v>
      </c>
      <c r="Q18" s="30">
        <f t="shared" si="6"/>
        <v>395843.62891886174</v>
      </c>
      <c r="R18" s="30">
        <f t="shared" si="6"/>
        <v>403760.50149723899</v>
      </c>
      <c r="S18" s="30">
        <f t="shared" si="6"/>
        <v>411835.71152718377</v>
      </c>
      <c r="T18" s="30"/>
      <c r="U18" s="30"/>
    </row>
    <row r="19" spans="1:21">
      <c r="A19" t="s">
        <v>26</v>
      </c>
      <c r="B19" s="30"/>
      <c r="C19" s="30">
        <v>60000</v>
      </c>
      <c r="D19" s="30">
        <f t="shared" si="6"/>
        <v>61200</v>
      </c>
      <c r="E19" s="30">
        <f t="shared" si="6"/>
        <v>62424</v>
      </c>
      <c r="F19" s="30">
        <f t="shared" si="6"/>
        <v>63672.480000000003</v>
      </c>
      <c r="G19" s="30">
        <f t="shared" si="6"/>
        <v>64945.929600000003</v>
      </c>
      <c r="H19" s="30">
        <f t="shared" si="6"/>
        <v>66244.848192000005</v>
      </c>
      <c r="I19" s="30">
        <f t="shared" si="6"/>
        <v>67569.745155840006</v>
      </c>
      <c r="J19" s="30">
        <f t="shared" si="6"/>
        <v>68921.140058956807</v>
      </c>
      <c r="K19" s="30">
        <f t="shared" si="6"/>
        <v>70299.562860135949</v>
      </c>
      <c r="L19" s="30">
        <f t="shared" si="6"/>
        <v>71705.554117338674</v>
      </c>
      <c r="M19" s="30">
        <f t="shared" si="6"/>
        <v>73139.665199685449</v>
      </c>
      <c r="N19" s="30">
        <f t="shared" si="6"/>
        <v>74602.458503679154</v>
      </c>
      <c r="O19" s="30">
        <f t="shared" si="6"/>
        <v>76094.507673752742</v>
      </c>
      <c r="P19" s="30">
        <f t="shared" si="6"/>
        <v>77616.397827227804</v>
      </c>
      <c r="Q19" s="30">
        <f t="shared" si="6"/>
        <v>79168.725783772359</v>
      </c>
      <c r="R19" s="30">
        <f t="shared" si="6"/>
        <v>80752.100299447804</v>
      </c>
      <c r="S19" s="30">
        <f t="shared" si="6"/>
        <v>82367.142305436762</v>
      </c>
      <c r="T19" s="30"/>
      <c r="U19" s="30"/>
    </row>
    <row r="20" spans="1:21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1">
      <c r="A21" t="s">
        <v>27</v>
      </c>
      <c r="B21" s="30"/>
      <c r="C21" s="30">
        <v>2941176</v>
      </c>
      <c r="D21" s="30">
        <v>2941176</v>
      </c>
      <c r="E21" s="30">
        <v>2941176</v>
      </c>
      <c r="F21" s="30">
        <v>2941176</v>
      </c>
      <c r="G21" s="30">
        <v>2941176</v>
      </c>
      <c r="H21" s="30">
        <v>2941176</v>
      </c>
      <c r="I21" s="30">
        <v>2941176</v>
      </c>
      <c r="J21" s="30">
        <v>2941176</v>
      </c>
      <c r="K21" s="30">
        <v>2941176</v>
      </c>
      <c r="L21" s="30">
        <v>2941176</v>
      </c>
      <c r="M21" s="30">
        <v>2941176</v>
      </c>
      <c r="N21" s="30">
        <v>2941176</v>
      </c>
      <c r="O21" s="30">
        <v>2941176</v>
      </c>
      <c r="P21" s="30">
        <v>2941176</v>
      </c>
      <c r="Q21" s="30">
        <v>2941176</v>
      </c>
      <c r="R21" s="30">
        <v>2941176</v>
      </c>
      <c r="S21" s="30">
        <v>2941176</v>
      </c>
      <c r="T21" s="30"/>
      <c r="U21" s="30"/>
    </row>
    <row r="22" spans="1:21">
      <c r="A22" t="s">
        <v>28</v>
      </c>
      <c r="B22" s="30"/>
      <c r="C22" s="30">
        <v>3113600</v>
      </c>
      <c r="D22" s="30">
        <f>1.03*C22</f>
        <v>3207008</v>
      </c>
      <c r="E22" s="30">
        <f t="shared" ref="E22:S22" si="7">1.03*D22</f>
        <v>3303218.24</v>
      </c>
      <c r="F22" s="30">
        <f t="shared" si="7"/>
        <v>3402314.7872000001</v>
      </c>
      <c r="G22" s="30">
        <f t="shared" si="7"/>
        <v>3504384.2308160001</v>
      </c>
      <c r="H22" s="30">
        <f t="shared" si="7"/>
        <v>3609515.7577404804</v>
      </c>
      <c r="I22" s="30">
        <f t="shared" si="7"/>
        <v>3717801.2304726951</v>
      </c>
      <c r="J22" s="30">
        <f t="shared" si="7"/>
        <v>3829335.267386876</v>
      </c>
      <c r="K22" s="30">
        <f t="shared" si="7"/>
        <v>3944215.3254084825</v>
      </c>
      <c r="L22" s="30">
        <f t="shared" si="7"/>
        <v>4062541.7851707372</v>
      </c>
      <c r="M22" s="30">
        <f t="shared" si="7"/>
        <v>4184418.0387258595</v>
      </c>
      <c r="N22" s="30">
        <f t="shared" si="7"/>
        <v>4309950.5798876351</v>
      </c>
      <c r="O22" s="30">
        <f t="shared" si="7"/>
        <v>4439249.0972842639</v>
      </c>
      <c r="P22" s="30">
        <f t="shared" si="7"/>
        <v>4572426.5702027921</v>
      </c>
      <c r="Q22" s="30">
        <f t="shared" si="7"/>
        <v>4709599.3673088755</v>
      </c>
      <c r="R22" s="30">
        <f t="shared" si="7"/>
        <v>4850887.3483281415</v>
      </c>
      <c r="S22" s="30">
        <f t="shared" si="7"/>
        <v>4996413.9687779862</v>
      </c>
      <c r="T22" s="30"/>
      <c r="U22" s="30"/>
    </row>
    <row r="23" spans="1:21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>
      <c r="A24" t="s">
        <v>29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>
      <c r="A25" t="s">
        <v>30</v>
      </c>
      <c r="B25" s="30"/>
      <c r="C25" s="30">
        <f>-0.03*B5</f>
        <v>1500000</v>
      </c>
      <c r="D25" s="30">
        <f>1.02*C25</f>
        <v>1530000</v>
      </c>
      <c r="E25" s="30">
        <f t="shared" ref="E25:S25" si="8">1.02*D25</f>
        <v>1560600</v>
      </c>
      <c r="F25" s="30">
        <f t="shared" si="8"/>
        <v>1591812</v>
      </c>
      <c r="G25" s="30">
        <f t="shared" si="8"/>
        <v>1623648.24</v>
      </c>
      <c r="H25" s="30">
        <f t="shared" si="8"/>
        <v>1656121.2047999999</v>
      </c>
      <c r="I25" s="30">
        <f t="shared" si="8"/>
        <v>1689243.6288959999</v>
      </c>
      <c r="J25" s="30">
        <f t="shared" si="8"/>
        <v>1723028.50147392</v>
      </c>
      <c r="K25" s="30">
        <f t="shared" si="8"/>
        <v>1757489.0715033985</v>
      </c>
      <c r="L25" s="30">
        <f t="shared" si="8"/>
        <v>1792638.8529334664</v>
      </c>
      <c r="M25" s="30">
        <f t="shared" si="8"/>
        <v>1828491.6299921358</v>
      </c>
      <c r="N25" s="30">
        <f t="shared" si="8"/>
        <v>1865061.4625919785</v>
      </c>
      <c r="O25" s="30">
        <f t="shared" si="8"/>
        <v>1902362.6918438182</v>
      </c>
      <c r="P25" s="30">
        <f t="shared" si="8"/>
        <v>1940409.9456806947</v>
      </c>
      <c r="Q25" s="30">
        <f t="shared" si="8"/>
        <v>1979218.1445943087</v>
      </c>
      <c r="R25" s="30">
        <f t="shared" si="8"/>
        <v>2018802.5074861948</v>
      </c>
      <c r="S25" s="30">
        <f t="shared" si="8"/>
        <v>2059178.5576359187</v>
      </c>
      <c r="T25" s="30"/>
      <c r="U25" s="30"/>
    </row>
    <row r="26" spans="1:21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>
      <c r="A27" t="s">
        <v>0</v>
      </c>
      <c r="B27" s="30"/>
      <c r="C27" s="30">
        <v>10000000</v>
      </c>
      <c r="D27" s="30">
        <f>1.02*C27</f>
        <v>10200000</v>
      </c>
      <c r="E27" s="30">
        <f t="shared" ref="E27:S27" si="9">1.02*D27</f>
        <v>10404000</v>
      </c>
      <c r="F27" s="30">
        <f t="shared" si="9"/>
        <v>10612080</v>
      </c>
      <c r="G27" s="30">
        <f t="shared" si="9"/>
        <v>10824321.6</v>
      </c>
      <c r="H27" s="30">
        <f t="shared" si="9"/>
        <v>11040808.032</v>
      </c>
      <c r="I27" s="30">
        <f t="shared" si="9"/>
        <v>11261624.192639999</v>
      </c>
      <c r="J27" s="30">
        <f t="shared" si="9"/>
        <v>11486856.676492799</v>
      </c>
      <c r="K27" s="30">
        <f t="shared" si="9"/>
        <v>11716593.810022656</v>
      </c>
      <c r="L27" s="30">
        <f t="shared" si="9"/>
        <v>11950925.686223108</v>
      </c>
      <c r="M27" s="30">
        <f t="shared" si="9"/>
        <v>12189944.199947571</v>
      </c>
      <c r="N27" s="30">
        <f t="shared" si="9"/>
        <v>12433743.083946522</v>
      </c>
      <c r="O27" s="30">
        <f t="shared" si="9"/>
        <v>12682417.945625452</v>
      </c>
      <c r="P27" s="30">
        <f t="shared" si="9"/>
        <v>12936066.304537961</v>
      </c>
      <c r="Q27" s="30">
        <f t="shared" si="9"/>
        <v>13194787.63062872</v>
      </c>
      <c r="R27" s="30">
        <f t="shared" si="9"/>
        <v>13458683.383241294</v>
      </c>
      <c r="S27" s="30">
        <f t="shared" si="9"/>
        <v>13727857.05090612</v>
      </c>
      <c r="T27" s="30"/>
      <c r="U27" s="30"/>
    </row>
    <row r="28" spans="1:21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>
      <c r="A29" s="7" t="s">
        <v>31</v>
      </c>
      <c r="B29" s="30"/>
      <c r="C29" s="31">
        <f>SUM(C15:C28)</f>
        <v>34463582</v>
      </c>
      <c r="D29" s="31">
        <f t="shared" ref="D29:S29" si="10">SUM(D15:D28)</f>
        <v>35093159.767305344</v>
      </c>
      <c r="E29" s="31">
        <f t="shared" si="10"/>
        <v>35736039.635249019</v>
      </c>
      <c r="F29" s="31">
        <f t="shared" si="10"/>
        <v>36392381.360907316</v>
      </c>
      <c r="G29" s="31">
        <f t="shared" si="10"/>
        <v>37062337.051872239</v>
      </c>
      <c r="H29" s="31">
        <f t="shared" si="10"/>
        <v>37746050.228558414</v>
      </c>
      <c r="I29" s="31">
        <f t="shared" si="10"/>
        <v>38443654.816653095</v>
      </c>
      <c r="J29" s="31">
        <f t="shared" si="10"/>
        <v>39155274.065125361</v>
      </c>
      <c r="K29" s="31">
        <f t="shared" si="10"/>
        <v>39881019.384924248</v>
      </c>
      <c r="L29" s="31">
        <f t="shared" si="10"/>
        <v>40620989.103190951</v>
      </c>
      <c r="M29" s="31">
        <f t="shared" si="10"/>
        <v>41375267.12748839</v>
      </c>
      <c r="N29" s="31">
        <f t="shared" si="10"/>
        <v>42143921.514208421</v>
      </c>
      <c r="O29" s="31">
        <f t="shared" si="10"/>
        <v>42927002.934954159</v>
      </c>
      <c r="P29" s="31">
        <f t="shared" si="10"/>
        <v>43724543.034309208</v>
      </c>
      <c r="Q29" s="31">
        <f t="shared" si="10"/>
        <v>44536552.671996802</v>
      </c>
      <c r="R29" s="31">
        <f t="shared" si="10"/>
        <v>45363020.041997902</v>
      </c>
      <c r="S29" s="31">
        <f t="shared" si="10"/>
        <v>46203908.660736918</v>
      </c>
      <c r="T29" s="30"/>
      <c r="U29" s="30"/>
    </row>
    <row r="30" spans="1:21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 spans="1:21">
      <c r="A31" t="s">
        <v>32</v>
      </c>
      <c r="B31" s="30"/>
      <c r="C31" s="30">
        <f>C10-C29</f>
        <v>15536418</v>
      </c>
      <c r="D31" s="30">
        <f t="shared" ref="D31:S31" si="11">D10-D29</f>
        <v>15906840.232694656</v>
      </c>
      <c r="E31" s="30">
        <f t="shared" si="11"/>
        <v>16283960.364750981</v>
      </c>
      <c r="F31" s="30">
        <f t="shared" si="11"/>
        <v>16668018.639092684</v>
      </c>
      <c r="G31" s="30">
        <f t="shared" si="11"/>
        <v>17059270.948127761</v>
      </c>
      <c r="H31" s="30">
        <f t="shared" si="11"/>
        <v>17457989.93144159</v>
      </c>
      <c r="I31" s="30">
        <f t="shared" si="11"/>
        <v>17864466.146546908</v>
      </c>
      <c r="J31" s="30">
        <f t="shared" si="11"/>
        <v>18279009.317338645</v>
      </c>
      <c r="K31" s="30">
        <f t="shared" si="11"/>
        <v>18701949.665189043</v>
      </c>
      <c r="L31" s="30">
        <f t="shared" si="11"/>
        <v>19133639.327924609</v>
      </c>
      <c r="M31" s="30">
        <f t="shared" si="11"/>
        <v>19574453.872249484</v>
      </c>
      <c r="N31" s="30">
        <f t="shared" si="11"/>
        <v>20024793.905524209</v>
      </c>
      <c r="O31" s="30">
        <f t="shared" si="11"/>
        <v>20485086.793173127</v>
      </c>
      <c r="P31" s="30">
        <f t="shared" si="11"/>
        <v>20955788.488380626</v>
      </c>
      <c r="Q31" s="30">
        <f t="shared" si="11"/>
        <v>21437385.481146827</v>
      </c>
      <c r="R31" s="30">
        <f t="shared" si="11"/>
        <v>21930396.874208607</v>
      </c>
      <c r="S31" s="30">
        <f t="shared" si="11"/>
        <v>22435376.59379372</v>
      </c>
      <c r="T31" s="30"/>
      <c r="U31" s="30"/>
    </row>
    <row r="32" spans="1:21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 spans="1:21">
      <c r="A33" t="s">
        <v>33</v>
      </c>
      <c r="B33" s="30"/>
      <c r="C33" s="30">
        <f>C31*0.4</f>
        <v>6214567.2000000002</v>
      </c>
      <c r="D33" s="30">
        <f t="shared" ref="D33:S33" si="12">D31*0.4</f>
        <v>6362736.0930778626</v>
      </c>
      <c r="E33" s="30">
        <f t="shared" si="12"/>
        <v>6513584.1459003929</v>
      </c>
      <c r="F33" s="30">
        <f t="shared" si="12"/>
        <v>6667207.4556370741</v>
      </c>
      <c r="G33" s="30">
        <f t="shared" si="12"/>
        <v>6823708.3792511048</v>
      </c>
      <c r="H33" s="30">
        <f t="shared" si="12"/>
        <v>6983195.9725766368</v>
      </c>
      <c r="I33" s="30">
        <f t="shared" si="12"/>
        <v>7145786.4586187638</v>
      </c>
      <c r="J33" s="30">
        <f t="shared" si="12"/>
        <v>7311603.7269354584</v>
      </c>
      <c r="K33" s="30">
        <f t="shared" si="12"/>
        <v>7480779.8660756173</v>
      </c>
      <c r="L33" s="30">
        <f t="shared" si="12"/>
        <v>7653455.731169844</v>
      </c>
      <c r="M33" s="30">
        <f t="shared" si="12"/>
        <v>7829781.548899794</v>
      </c>
      <c r="N33" s="30">
        <f t="shared" si="12"/>
        <v>8009917.5622096844</v>
      </c>
      <c r="O33" s="30">
        <f t="shared" si="12"/>
        <v>8194034.7172692511</v>
      </c>
      <c r="P33" s="30">
        <f t="shared" si="12"/>
        <v>8382315.3953522509</v>
      </c>
      <c r="Q33" s="30">
        <f t="shared" si="12"/>
        <v>8574954.1924587321</v>
      </c>
      <c r="R33" s="30">
        <f t="shared" si="12"/>
        <v>8772158.7496834435</v>
      </c>
      <c r="S33" s="30">
        <f t="shared" si="12"/>
        <v>8974150.6375174876</v>
      </c>
      <c r="T33" s="30"/>
      <c r="U33" s="30"/>
    </row>
    <row r="34" spans="1:21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 spans="1:21">
      <c r="A35" t="s">
        <v>34</v>
      </c>
      <c r="B35" s="30"/>
      <c r="C35" s="30">
        <f>C31-C33</f>
        <v>9321850.8000000007</v>
      </c>
      <c r="D35" s="30">
        <f t="shared" ref="D35:S35" si="13">D31-D33</f>
        <v>9544104.139616793</v>
      </c>
      <c r="E35" s="30">
        <f t="shared" si="13"/>
        <v>9770376.2188505884</v>
      </c>
      <c r="F35" s="30">
        <f t="shared" si="13"/>
        <v>10000811.183455609</v>
      </c>
      <c r="G35" s="30">
        <f t="shared" si="13"/>
        <v>10235562.568876658</v>
      </c>
      <c r="H35" s="30">
        <f t="shared" si="13"/>
        <v>10474793.958864953</v>
      </c>
      <c r="I35" s="30">
        <f t="shared" si="13"/>
        <v>10718679.687928144</v>
      </c>
      <c r="J35" s="30">
        <f t="shared" si="13"/>
        <v>10967405.590403188</v>
      </c>
      <c r="K35" s="30">
        <f t="shared" si="13"/>
        <v>11221169.799113426</v>
      </c>
      <c r="L35" s="30">
        <f t="shared" si="13"/>
        <v>11480183.596754765</v>
      </c>
      <c r="M35" s="30">
        <f t="shared" si="13"/>
        <v>11744672.32334969</v>
      </c>
      <c r="N35" s="30">
        <f t="shared" si="13"/>
        <v>12014876.343314525</v>
      </c>
      <c r="O35" s="30">
        <f t="shared" si="13"/>
        <v>12291052.075903876</v>
      </c>
      <c r="P35" s="30">
        <f t="shared" si="13"/>
        <v>12573473.093028374</v>
      </c>
      <c r="Q35" s="30">
        <f t="shared" si="13"/>
        <v>12862431.288688095</v>
      </c>
      <c r="R35" s="30">
        <f t="shared" si="13"/>
        <v>13158238.124525163</v>
      </c>
      <c r="S35" s="30">
        <f t="shared" si="13"/>
        <v>13461225.956276232</v>
      </c>
      <c r="T35" s="30"/>
      <c r="U35" s="30"/>
    </row>
    <row r="36" spans="1:21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 spans="1:21">
      <c r="A37" t="s">
        <v>35</v>
      </c>
      <c r="B37" s="30"/>
      <c r="C37" s="30">
        <f>C21</f>
        <v>2941176</v>
      </c>
      <c r="D37" s="30">
        <f t="shared" ref="D37:S37" si="14">D21</f>
        <v>2941176</v>
      </c>
      <c r="E37" s="30">
        <f t="shared" si="14"/>
        <v>2941176</v>
      </c>
      <c r="F37" s="30">
        <f t="shared" si="14"/>
        <v>2941176</v>
      </c>
      <c r="G37" s="30">
        <f t="shared" si="14"/>
        <v>2941176</v>
      </c>
      <c r="H37" s="30">
        <f t="shared" si="14"/>
        <v>2941176</v>
      </c>
      <c r="I37" s="30">
        <f t="shared" si="14"/>
        <v>2941176</v>
      </c>
      <c r="J37" s="30">
        <f t="shared" si="14"/>
        <v>2941176</v>
      </c>
      <c r="K37" s="30">
        <f t="shared" si="14"/>
        <v>2941176</v>
      </c>
      <c r="L37" s="30">
        <f t="shared" si="14"/>
        <v>2941176</v>
      </c>
      <c r="M37" s="30">
        <f t="shared" si="14"/>
        <v>2941176</v>
      </c>
      <c r="N37" s="30">
        <f t="shared" si="14"/>
        <v>2941176</v>
      </c>
      <c r="O37" s="30">
        <f t="shared" si="14"/>
        <v>2941176</v>
      </c>
      <c r="P37" s="30">
        <f t="shared" si="14"/>
        <v>2941176</v>
      </c>
      <c r="Q37" s="30">
        <f t="shared" si="14"/>
        <v>2941176</v>
      </c>
      <c r="R37" s="30">
        <f t="shared" si="14"/>
        <v>2941176</v>
      </c>
      <c r="S37" s="30">
        <f t="shared" si="14"/>
        <v>2941176</v>
      </c>
      <c r="T37" s="30"/>
      <c r="U37" s="30"/>
    </row>
    <row r="38" spans="1:21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 spans="1:21">
      <c r="A39" t="s">
        <v>36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 spans="1:21">
      <c r="A40" t="s">
        <v>37</v>
      </c>
      <c r="B40" s="30">
        <f>B5</f>
        <v>-50000000</v>
      </c>
      <c r="C40" s="30">
        <f>C35+C37</f>
        <v>12263026.800000001</v>
      </c>
      <c r="D40" s="30">
        <f t="shared" ref="D40:S40" si="15">D35+D37</f>
        <v>12485280.139616793</v>
      </c>
      <c r="E40" s="30">
        <f t="shared" si="15"/>
        <v>12711552.218850588</v>
      </c>
      <c r="F40" s="30">
        <f t="shared" si="15"/>
        <v>12941987.183455609</v>
      </c>
      <c r="G40" s="30">
        <f t="shared" si="15"/>
        <v>13176738.568876658</v>
      </c>
      <c r="H40" s="30">
        <f t="shared" si="15"/>
        <v>13415969.958864953</v>
      </c>
      <c r="I40" s="30">
        <f t="shared" si="15"/>
        <v>13659855.687928144</v>
      </c>
      <c r="J40" s="30">
        <f t="shared" si="15"/>
        <v>13908581.590403188</v>
      </c>
      <c r="K40" s="30">
        <f t="shared" si="15"/>
        <v>14162345.799113426</v>
      </c>
      <c r="L40" s="30">
        <f t="shared" si="15"/>
        <v>14421359.596754765</v>
      </c>
      <c r="M40" s="30">
        <f t="shared" si="15"/>
        <v>14685848.32334969</v>
      </c>
      <c r="N40" s="30">
        <f t="shared" si="15"/>
        <v>14956052.343314525</v>
      </c>
      <c r="O40" s="30">
        <f t="shared" si="15"/>
        <v>15232228.075903876</v>
      </c>
      <c r="P40" s="30">
        <f t="shared" si="15"/>
        <v>15514649.093028374</v>
      </c>
      <c r="Q40" s="30">
        <f t="shared" si="15"/>
        <v>15803607.288688095</v>
      </c>
      <c r="R40" s="30">
        <f t="shared" si="15"/>
        <v>16099414.124525163</v>
      </c>
      <c r="S40" s="30">
        <f t="shared" si="15"/>
        <v>16402401.956276232</v>
      </c>
      <c r="T40" s="30"/>
      <c r="U40" s="30"/>
    </row>
    <row r="41" spans="1:21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 spans="1:21">
      <c r="A42" t="s">
        <v>38</v>
      </c>
      <c r="B42" s="30"/>
      <c r="C42" s="30">
        <f>C40</f>
        <v>12263026.800000001</v>
      </c>
      <c r="D42" s="30">
        <f t="shared" ref="D42:M42" si="16">C42+D40</f>
        <v>24748306.939616792</v>
      </c>
      <c r="E42" s="30">
        <f t="shared" si="16"/>
        <v>37459859.158467382</v>
      </c>
      <c r="F42" s="30">
        <f t="shared" si="16"/>
        <v>50401846.341922991</v>
      </c>
      <c r="G42" s="30">
        <f t="shared" si="16"/>
        <v>63578584.910799652</v>
      </c>
      <c r="H42" s="30">
        <f t="shared" si="16"/>
        <v>76994554.869664609</v>
      </c>
      <c r="I42" s="30">
        <f t="shared" si="16"/>
        <v>90654410.55759275</v>
      </c>
      <c r="J42" s="30">
        <f t="shared" si="16"/>
        <v>104562992.14799593</v>
      </c>
      <c r="K42" s="30">
        <f t="shared" si="16"/>
        <v>118725337.94710936</v>
      </c>
      <c r="L42" s="30">
        <f t="shared" si="16"/>
        <v>133146697.54386412</v>
      </c>
      <c r="M42" s="30">
        <f t="shared" si="16"/>
        <v>147832545.86721382</v>
      </c>
      <c r="N42" s="30"/>
      <c r="O42" s="30"/>
      <c r="P42" s="30"/>
      <c r="Q42" s="30"/>
      <c r="R42" s="30"/>
      <c r="S42" s="30"/>
      <c r="T42" s="30"/>
      <c r="U42" s="30"/>
    </row>
    <row r="43" spans="1:21">
      <c r="B43" s="30"/>
      <c r="C43" s="30"/>
      <c r="D43" s="30"/>
      <c r="E43" s="30"/>
      <c r="F43" s="30" t="s">
        <v>39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 spans="1:21">
      <c r="A44" t="s">
        <v>40</v>
      </c>
      <c r="B44" s="8">
        <f>NPV(B47,B40:S40)</f>
        <v>69971244.576504782</v>
      </c>
      <c r="C44" s="3"/>
    </row>
    <row r="45" spans="1:21">
      <c r="A45" t="s">
        <v>41</v>
      </c>
      <c r="B45" s="4">
        <f>IRR(B40:S40,0.11)</f>
        <v>0.25657388207353571</v>
      </c>
    </row>
    <row r="46" spans="1:21">
      <c r="B46" s="4"/>
    </row>
    <row r="47" spans="1:21">
      <c r="A47" t="s">
        <v>42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E15"/>
  <sheetViews>
    <sheetView workbookViewId="0">
      <selection activeCell="D19" sqref="D19"/>
    </sheetView>
  </sheetViews>
  <sheetFormatPr defaultRowHeight="15"/>
  <cols>
    <col min="1" max="1" width="19.7109375" customWidth="1"/>
    <col min="2" max="2" width="14" customWidth="1"/>
    <col min="3" max="3" width="16.28515625" bestFit="1" customWidth="1"/>
    <col min="5" max="5" width="18.28515625" customWidth="1"/>
  </cols>
  <sheetData>
    <row r="3" spans="1:5">
      <c r="A3" s="29">
        <v>30311530</v>
      </c>
      <c r="B3" s="29">
        <v>11492800</v>
      </c>
      <c r="C3" t="s">
        <v>158</v>
      </c>
    </row>
    <row r="4" spans="1:5">
      <c r="A4" s="29">
        <v>135099254</v>
      </c>
      <c r="B4" s="29">
        <v>1259130</v>
      </c>
      <c r="C4" t="s">
        <v>159</v>
      </c>
    </row>
    <row r="5" spans="1:5">
      <c r="A5" s="29">
        <v>13837950</v>
      </c>
      <c r="B5" s="29">
        <v>4753710</v>
      </c>
      <c r="C5" t="s">
        <v>160</v>
      </c>
    </row>
    <row r="6" spans="1:5">
      <c r="A6" s="29">
        <v>2709352.3999999994</v>
      </c>
      <c r="B6" s="29">
        <v>1184633</v>
      </c>
      <c r="C6" t="s">
        <v>161</v>
      </c>
    </row>
    <row r="7" spans="1:5">
      <c r="A7" s="29">
        <v>517410</v>
      </c>
      <c r="B7" s="29">
        <v>253500</v>
      </c>
      <c r="C7" t="s">
        <v>162</v>
      </c>
    </row>
    <row r="8" spans="1:5">
      <c r="A8" s="9">
        <v>182475496.40000001</v>
      </c>
      <c r="B8" s="29">
        <v>18943773</v>
      </c>
      <c r="C8" t="s">
        <v>154</v>
      </c>
    </row>
    <row r="11" spans="1:5">
      <c r="A11" t="s">
        <v>157</v>
      </c>
      <c r="C11" s="49">
        <v>19370946.709897202</v>
      </c>
      <c r="E11" t="s">
        <v>163</v>
      </c>
    </row>
    <row r="12" spans="1:5">
      <c r="A12" t="s">
        <v>155</v>
      </c>
      <c r="C12" s="9">
        <f>0.25*A8</f>
        <v>45618874.100000001</v>
      </c>
      <c r="E12" s="36">
        <f>C12+C13</f>
        <v>82113973.379999995</v>
      </c>
    </row>
    <row r="13" spans="1:5">
      <c r="A13" t="s">
        <v>156</v>
      </c>
      <c r="C13" s="9">
        <f>0.2*A8</f>
        <v>36495099.280000001</v>
      </c>
    </row>
    <row r="14" spans="1:5">
      <c r="A14" t="s">
        <v>316</v>
      </c>
      <c r="C14" s="36">
        <f>A8*0.2</f>
        <v>36495099.280000001</v>
      </c>
    </row>
    <row r="15" spans="1:5">
      <c r="C15" s="9">
        <f>A8+C12+C13+C11+C14</f>
        <v>320455515.76989722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Equip list and discrip</vt:lpstr>
      <vt:lpstr>Raw Materials</vt:lpstr>
      <vt:lpstr>Utilities</vt:lpstr>
      <vt:lpstr>Economics</vt:lpstr>
      <vt:lpstr>labor</vt:lpstr>
      <vt:lpstr>Graphs</vt:lpstr>
      <vt:lpstr>Catalyst </vt:lpstr>
      <vt:lpstr>Jerry's Sample</vt:lpstr>
      <vt:lpstr>Sheet3</vt:lpstr>
      <vt:lpstr>Sheet1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Ryan Kosak</cp:lastModifiedBy>
  <dcterms:created xsi:type="dcterms:W3CDTF">2011-02-25T21:23:58Z</dcterms:created>
  <dcterms:modified xsi:type="dcterms:W3CDTF">2011-04-16T16:11:25Z</dcterms:modified>
</cp:coreProperties>
</file>