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0" windowWidth="9555" windowHeight="7815" activeTab="3"/>
  </bookViews>
  <sheets>
    <sheet name="Equipment" sheetId="7" r:id="rId1"/>
    <sheet name="TIC" sheetId="1" r:id="rId2"/>
    <sheet name="Labor" sheetId="2" r:id="rId3"/>
    <sheet name="Puting It Together" sheetId="3" r:id="rId4"/>
    <sheet name="Handout" sheetId="6" r:id="rId5"/>
    <sheet name="Sheet1" sheetId="9" r:id="rId6"/>
  </sheets>
  <calcPr calcId="144525"/>
</workbook>
</file>

<file path=xl/calcChain.xml><?xml version="1.0" encoding="utf-8"?>
<calcChain xmlns="http://schemas.openxmlformats.org/spreadsheetml/2006/main">
  <c r="D31" i="3"/>
  <c r="C19"/>
  <c r="B19"/>
  <c r="D19" s="1"/>
  <c r="E18"/>
  <c r="D18"/>
  <c r="C18"/>
  <c r="B18"/>
  <c r="E17"/>
  <c r="D17"/>
  <c r="C17"/>
  <c r="B17"/>
  <c r="B5"/>
  <c r="F28"/>
  <c r="H29"/>
  <c r="I29" s="1"/>
  <c r="J29" s="1"/>
  <c r="K29" s="1"/>
  <c r="L29" s="1"/>
  <c r="M29" s="1"/>
  <c r="N29" s="1"/>
  <c r="O29" s="1"/>
  <c r="P29" s="1"/>
  <c r="Q29" s="1"/>
  <c r="R29" s="1"/>
  <c r="S29" s="1"/>
  <c r="T29" s="1"/>
  <c r="U29" s="1"/>
  <c r="G29"/>
  <c r="F20"/>
  <c r="G20"/>
  <c r="H20"/>
  <c r="I20"/>
  <c r="J20"/>
  <c r="K20"/>
  <c r="L20"/>
  <c r="M20"/>
  <c r="N20"/>
  <c r="O20"/>
  <c r="P20"/>
  <c r="Q20"/>
  <c r="R20"/>
  <c r="S20"/>
  <c r="H21"/>
  <c r="I21" s="1"/>
  <c r="J21" s="1"/>
  <c r="K21" s="1"/>
  <c r="L21" s="1"/>
  <c r="M21" s="1"/>
  <c r="N21" s="1"/>
  <c r="O21" s="1"/>
  <c r="P21" s="1"/>
  <c r="Q21" s="1"/>
  <c r="R21" s="1"/>
  <c r="S21" s="1"/>
  <c r="T21" s="1"/>
  <c r="U21" s="1"/>
  <c r="G21"/>
  <c r="E21"/>
  <c r="E20" s="1"/>
  <c r="F23"/>
  <c r="F24"/>
  <c r="H11"/>
  <c r="I11" s="1"/>
  <c r="J11" s="1"/>
  <c r="K11" s="1"/>
  <c r="L11" s="1"/>
  <c r="M11" s="1"/>
  <c r="N11" s="1"/>
  <c r="O11" s="1"/>
  <c r="P11" s="1"/>
  <c r="Q11" s="1"/>
  <c r="R11" s="1"/>
  <c r="S11" s="1"/>
  <c r="T11" s="1"/>
  <c r="U11" s="1"/>
  <c r="G11"/>
  <c r="E11"/>
  <c r="F11"/>
  <c r="E15"/>
  <c r="C2" i="1"/>
  <c r="H26" i="3"/>
  <c r="I26" s="1"/>
  <c r="J26" s="1"/>
  <c r="K26" s="1"/>
  <c r="L26" s="1"/>
  <c r="M26" s="1"/>
  <c r="N26" s="1"/>
  <c r="O26" s="1"/>
  <c r="P26" s="1"/>
  <c r="Q26" s="1"/>
  <c r="R26" s="1"/>
  <c r="S26" s="1"/>
  <c r="T26" s="1"/>
  <c r="U26" s="1"/>
  <c r="G26"/>
  <c r="F26"/>
  <c r="D13" i="2"/>
  <c r="D12"/>
  <c r="F22" i="3"/>
  <c r="F10"/>
  <c r="F9"/>
  <c r="F8"/>
  <c r="E8"/>
  <c r="E9"/>
  <c r="G8"/>
  <c r="H8" s="1"/>
  <c r="I8" s="1"/>
  <c r="J8" s="1"/>
  <c r="E23"/>
  <c r="E22"/>
  <c r="E10"/>
  <c r="G10"/>
  <c r="H10" s="1"/>
  <c r="I10" s="1"/>
  <c r="J10" s="1"/>
  <c r="K10" s="1"/>
  <c r="L10" s="1"/>
  <c r="M10" s="1"/>
  <c r="N10" s="1"/>
  <c r="O10" s="1"/>
  <c r="P10" s="1"/>
  <c r="Q10" s="1"/>
  <c r="R10" s="1"/>
  <c r="S10" s="1"/>
  <c r="T10" s="1"/>
  <c r="U10" s="1"/>
  <c r="B43"/>
  <c r="G22"/>
  <c r="H22"/>
  <c r="I22" s="1"/>
  <c r="J22"/>
  <c r="K22" s="1"/>
  <c r="L22" s="1"/>
  <c r="M22" s="1"/>
  <c r="N22" s="1"/>
  <c r="O22" s="1"/>
  <c r="P22" s="1"/>
  <c r="Q22" s="1"/>
  <c r="R22" s="1"/>
  <c r="S22" s="1"/>
  <c r="T22" s="1"/>
  <c r="U22" s="1"/>
  <c r="G23"/>
  <c r="H23" s="1"/>
  <c r="I23" s="1"/>
  <c r="J23" s="1"/>
  <c r="K23" s="1"/>
  <c r="L23" s="1"/>
  <c r="M23" s="1"/>
  <c r="N23" s="1"/>
  <c r="O23" s="1"/>
  <c r="P23" s="1"/>
  <c r="Q23" s="1"/>
  <c r="R23" s="1"/>
  <c r="S23" s="1"/>
  <c r="T23" s="1"/>
  <c r="U23" s="1"/>
  <c r="B40" i="6"/>
  <c r="C7"/>
  <c r="C8"/>
  <c r="C9"/>
  <c r="C19"/>
  <c r="C23"/>
  <c r="C25"/>
  <c r="D25" s="1"/>
  <c r="E25" s="1"/>
  <c r="F25" s="1"/>
  <c r="B69" s="1"/>
  <c r="C69" s="1"/>
  <c r="D69" s="1"/>
  <c r="E69" s="1"/>
  <c r="F69" s="1"/>
  <c r="B115" s="1"/>
  <c r="C115" s="1"/>
  <c r="D115" s="1"/>
  <c r="E115" s="1"/>
  <c r="F115" s="1"/>
  <c r="B161" s="1"/>
  <c r="C161" s="1"/>
  <c r="D161" s="1"/>
  <c r="D7"/>
  <c r="D8"/>
  <c r="D9"/>
  <c r="D15"/>
  <c r="D16"/>
  <c r="D17"/>
  <c r="D19"/>
  <c r="D20"/>
  <c r="D23"/>
  <c r="D35"/>
  <c r="E7"/>
  <c r="E8"/>
  <c r="E9"/>
  <c r="E15"/>
  <c r="E16"/>
  <c r="E17"/>
  <c r="E19"/>
  <c r="E20"/>
  <c r="E23"/>
  <c r="E35"/>
  <c r="F7"/>
  <c r="F8"/>
  <c r="F9"/>
  <c r="F15"/>
  <c r="F16"/>
  <c r="F17"/>
  <c r="F19"/>
  <c r="F20"/>
  <c r="F23"/>
  <c r="F35"/>
  <c r="B51"/>
  <c r="B52"/>
  <c r="B53"/>
  <c r="B59"/>
  <c r="B60"/>
  <c r="B61"/>
  <c r="B63"/>
  <c r="B64"/>
  <c r="B67"/>
  <c r="B79"/>
  <c r="C51"/>
  <c r="C52"/>
  <c r="C53"/>
  <c r="C59"/>
  <c r="C60"/>
  <c r="C61"/>
  <c r="C63"/>
  <c r="C64"/>
  <c r="C67"/>
  <c r="C79"/>
  <c r="D51"/>
  <c r="D52"/>
  <c r="D53"/>
  <c r="D59"/>
  <c r="D60"/>
  <c r="D61"/>
  <c r="D63"/>
  <c r="D64"/>
  <c r="D67"/>
  <c r="D79"/>
  <c r="E51"/>
  <c r="E52"/>
  <c r="E53"/>
  <c r="E59"/>
  <c r="E60"/>
  <c r="E61"/>
  <c r="E63"/>
  <c r="E64"/>
  <c r="E67"/>
  <c r="E79"/>
  <c r="F51"/>
  <c r="F52"/>
  <c r="F53"/>
  <c r="F59"/>
  <c r="F60"/>
  <c r="F61"/>
  <c r="F63"/>
  <c r="F64"/>
  <c r="F67"/>
  <c r="F79"/>
  <c r="B97"/>
  <c r="B98"/>
  <c r="B99"/>
  <c r="B105"/>
  <c r="B106"/>
  <c r="B107"/>
  <c r="B109"/>
  <c r="B110"/>
  <c r="B113"/>
  <c r="B125"/>
  <c r="C97"/>
  <c r="C98"/>
  <c r="C99"/>
  <c r="C105"/>
  <c r="C106"/>
  <c r="C107"/>
  <c r="C109"/>
  <c r="C110"/>
  <c r="C113"/>
  <c r="C125"/>
  <c r="D97"/>
  <c r="D98"/>
  <c r="D99"/>
  <c r="D105"/>
  <c r="D106"/>
  <c r="D107"/>
  <c r="D109"/>
  <c r="D110"/>
  <c r="D113"/>
  <c r="D125"/>
  <c r="E97"/>
  <c r="E98"/>
  <c r="E99"/>
  <c r="E105"/>
  <c r="E106"/>
  <c r="E107"/>
  <c r="E109"/>
  <c r="E110"/>
  <c r="E113"/>
  <c r="E125"/>
  <c r="F97"/>
  <c r="F98"/>
  <c r="F99"/>
  <c r="F105"/>
  <c r="F106"/>
  <c r="F107"/>
  <c r="F109"/>
  <c r="F110"/>
  <c r="F113"/>
  <c r="F125"/>
  <c r="B143"/>
  <c r="B144"/>
  <c r="B145"/>
  <c r="B151"/>
  <c r="B152"/>
  <c r="B153"/>
  <c r="B155"/>
  <c r="B156"/>
  <c r="B159"/>
  <c r="B171"/>
  <c r="C143"/>
  <c r="C144"/>
  <c r="C145"/>
  <c r="C151"/>
  <c r="C152"/>
  <c r="C153"/>
  <c r="C155"/>
  <c r="C156"/>
  <c r="C159"/>
  <c r="C171"/>
  <c r="D143"/>
  <c r="D144"/>
  <c r="D145"/>
  <c r="D151"/>
  <c r="D152"/>
  <c r="D153"/>
  <c r="D155"/>
  <c r="D156"/>
  <c r="D159"/>
  <c r="D171"/>
  <c r="H60" i="7"/>
  <c r="H26"/>
  <c r="H75"/>
  <c r="C16" i="1"/>
  <c r="C17"/>
  <c r="C18"/>
  <c r="C19"/>
  <c r="C15"/>
  <c r="C6"/>
  <c r="C7"/>
  <c r="C8"/>
  <c r="C9"/>
  <c r="C10"/>
  <c r="C11"/>
  <c r="C5"/>
  <c r="D4" i="2"/>
  <c r="D5"/>
  <c r="D6"/>
  <c r="D7"/>
  <c r="D8"/>
  <c r="D9"/>
  <c r="D10"/>
  <c r="D11"/>
  <c r="D3"/>
  <c r="E7" i="3" l="1"/>
  <c r="I25"/>
  <c r="I39" s="1"/>
  <c r="C15"/>
  <c r="Q25"/>
  <c r="C20" i="1"/>
  <c r="C12"/>
  <c r="D15" i="2"/>
  <c r="D142" i="6"/>
  <c r="C142"/>
  <c r="C165" s="1"/>
  <c r="B142"/>
  <c r="F96"/>
  <c r="F119" s="1"/>
  <c r="E96"/>
  <c r="D96"/>
  <c r="D119" s="1"/>
  <c r="C96"/>
  <c r="B96"/>
  <c r="B119" s="1"/>
  <c r="F50"/>
  <c r="E50"/>
  <c r="E73" s="1"/>
  <c r="D50"/>
  <c r="C50"/>
  <c r="C73" s="1"/>
  <c r="B50"/>
  <c r="F6"/>
  <c r="F29" s="1"/>
  <c r="E6"/>
  <c r="D6"/>
  <c r="D29" s="1"/>
  <c r="C27"/>
  <c r="C35"/>
  <c r="G9" i="3"/>
  <c r="H9" s="1"/>
  <c r="F7"/>
  <c r="D15"/>
  <c r="F15"/>
  <c r="H15"/>
  <c r="J15"/>
  <c r="L15"/>
  <c r="D25"/>
  <c r="D39" s="1"/>
  <c r="F25"/>
  <c r="F39" s="1"/>
  <c r="H25"/>
  <c r="H39" s="1"/>
  <c r="J25"/>
  <c r="J39" s="1"/>
  <c r="L25"/>
  <c r="L39" s="1"/>
  <c r="N25"/>
  <c r="P25"/>
  <c r="R25"/>
  <c r="T25"/>
  <c r="C25"/>
  <c r="C39" s="1"/>
  <c r="E27"/>
  <c r="F27" s="1"/>
  <c r="G27" s="1"/>
  <c r="H27" s="1"/>
  <c r="I27" s="1"/>
  <c r="J27" s="1"/>
  <c r="K27" s="1"/>
  <c r="L27" s="1"/>
  <c r="M27" s="1"/>
  <c r="N27" s="1"/>
  <c r="O27" s="1"/>
  <c r="P27" s="1"/>
  <c r="Q27" s="1"/>
  <c r="R27" s="1"/>
  <c r="S27" s="1"/>
  <c r="T27" s="1"/>
  <c r="U27" s="1"/>
  <c r="G15"/>
  <c r="K15"/>
  <c r="G25"/>
  <c r="G39" s="1"/>
  <c r="K25"/>
  <c r="K39" s="1"/>
  <c r="O25"/>
  <c r="S25"/>
  <c r="E28"/>
  <c r="G28"/>
  <c r="H28" s="1"/>
  <c r="I28" s="1"/>
  <c r="J28" s="1"/>
  <c r="K28" s="1"/>
  <c r="L28" s="1"/>
  <c r="M28" s="1"/>
  <c r="N28" s="1"/>
  <c r="O28" s="1"/>
  <c r="P28" s="1"/>
  <c r="Q28" s="1"/>
  <c r="R28" s="1"/>
  <c r="S28" s="1"/>
  <c r="T28" s="1"/>
  <c r="U28" s="1"/>
  <c r="E24"/>
  <c r="G24"/>
  <c r="H24" s="1"/>
  <c r="I24" s="1"/>
  <c r="J24" s="1"/>
  <c r="K24" s="1"/>
  <c r="L24" s="1"/>
  <c r="M24" s="1"/>
  <c r="G7"/>
  <c r="D163" i="6"/>
  <c r="C163"/>
  <c r="B163"/>
  <c r="F117"/>
  <c r="E117"/>
  <c r="D117"/>
  <c r="C117"/>
  <c r="B117"/>
  <c r="F71"/>
  <c r="E71"/>
  <c r="D71"/>
  <c r="C71"/>
  <c r="B71"/>
  <c r="F27"/>
  <c r="E27"/>
  <c r="D27"/>
  <c r="C6"/>
  <c r="C29" s="1"/>
  <c r="U25" i="3"/>
  <c r="M25"/>
  <c r="E25"/>
  <c r="E39" s="1"/>
  <c r="I15"/>
  <c r="I31" s="1"/>
  <c r="K8"/>
  <c r="L31" l="1"/>
  <c r="H31"/>
  <c r="U39"/>
  <c r="U31"/>
  <c r="M39"/>
  <c r="M31"/>
  <c r="S39"/>
  <c r="S31"/>
  <c r="K31"/>
  <c r="T39"/>
  <c r="T31"/>
  <c r="P39"/>
  <c r="P31"/>
  <c r="J31"/>
  <c r="F31"/>
  <c r="C31"/>
  <c r="C33" s="1"/>
  <c r="O39"/>
  <c r="O31"/>
  <c r="G31"/>
  <c r="G33" s="1"/>
  <c r="R39"/>
  <c r="R31"/>
  <c r="N39"/>
  <c r="N31"/>
  <c r="Q39"/>
  <c r="Q31"/>
  <c r="E31"/>
  <c r="E33" s="1"/>
  <c r="C22" i="1"/>
  <c r="D17" i="2"/>
  <c r="D19" s="1"/>
  <c r="C31" i="6"/>
  <c r="C33" s="1"/>
  <c r="C38" s="1"/>
  <c r="N24" i="3"/>
  <c r="F33"/>
  <c r="D31" i="6"/>
  <c r="D33"/>
  <c r="D38" s="1"/>
  <c r="F31"/>
  <c r="F33"/>
  <c r="F38" s="1"/>
  <c r="C75"/>
  <c r="C77"/>
  <c r="C82" s="1"/>
  <c r="E75"/>
  <c r="E77"/>
  <c r="E82" s="1"/>
  <c r="B121"/>
  <c r="B123"/>
  <c r="B128" s="1"/>
  <c r="D121"/>
  <c r="D123"/>
  <c r="D128" s="1"/>
  <c r="F121"/>
  <c r="F123"/>
  <c r="F128" s="1"/>
  <c r="C167"/>
  <c r="C169"/>
  <c r="C174" s="1"/>
  <c r="L8" i="3"/>
  <c r="D33"/>
  <c r="I9"/>
  <c r="H7"/>
  <c r="E29" i="6"/>
  <c r="B73"/>
  <c r="D73"/>
  <c r="F73"/>
  <c r="C119"/>
  <c r="E119"/>
  <c r="B165"/>
  <c r="D165"/>
  <c r="D21" i="2" l="1"/>
  <c r="G35" i="3"/>
  <c r="G37" s="1"/>
  <c r="G41" s="1"/>
  <c r="C40" i="6"/>
  <c r="D169"/>
  <c r="D174" s="1"/>
  <c r="D167"/>
  <c r="E123"/>
  <c r="E128" s="1"/>
  <c r="E121"/>
  <c r="F77"/>
  <c r="F82" s="1"/>
  <c r="F75"/>
  <c r="B77"/>
  <c r="B82" s="1"/>
  <c r="B75"/>
  <c r="C35" i="3"/>
  <c r="C37" s="1"/>
  <c r="C41" s="1"/>
  <c r="J9"/>
  <c r="I7"/>
  <c r="I33" s="1"/>
  <c r="F35"/>
  <c r="F37" s="1"/>
  <c r="F41" s="1"/>
  <c r="B167" i="6"/>
  <c r="B169" s="1"/>
  <c r="B174" s="1"/>
  <c r="C121"/>
  <c r="C123" s="1"/>
  <c r="C128" s="1"/>
  <c r="D75"/>
  <c r="D77" s="1"/>
  <c r="D82" s="1"/>
  <c r="E31"/>
  <c r="E33" s="1"/>
  <c r="E38" s="1"/>
  <c r="B42" s="1"/>
  <c r="H33" i="3"/>
  <c r="D35"/>
  <c r="D37" s="1"/>
  <c r="D41" s="1"/>
  <c r="E35"/>
  <c r="E37" s="1"/>
  <c r="E41" s="1"/>
  <c r="M8"/>
  <c r="O24"/>
  <c r="P24" l="1"/>
  <c r="N8"/>
  <c r="K9"/>
  <c r="J7"/>
  <c r="J33" s="1"/>
  <c r="C43"/>
  <c r="D40" i="6"/>
  <c r="E40" s="1"/>
  <c r="F40" s="1"/>
  <c r="B84" s="1"/>
  <c r="C84" s="1"/>
  <c r="D84" s="1"/>
  <c r="E84" s="1"/>
  <c r="F84" s="1"/>
  <c r="B130" s="1"/>
  <c r="C130" s="1"/>
  <c r="D130" s="1"/>
  <c r="E130" s="1"/>
  <c r="F130" s="1"/>
  <c r="B176" s="1"/>
  <c r="C176" s="1"/>
  <c r="D176" s="1"/>
  <c r="H35" i="3"/>
  <c r="H37" s="1"/>
  <c r="H41" s="1"/>
  <c r="I35"/>
  <c r="I37" s="1"/>
  <c r="I41" s="1"/>
  <c r="D43" l="1"/>
  <c r="E43" s="1"/>
  <c r="F43" s="1"/>
  <c r="G43" s="1"/>
  <c r="H43" s="1"/>
  <c r="I43" s="1"/>
  <c r="L9"/>
  <c r="K7"/>
  <c r="K33" s="1"/>
  <c r="O8"/>
  <c r="Q24"/>
  <c r="B43" i="6"/>
  <c r="J35" i="3"/>
  <c r="J37" s="1"/>
  <c r="J41" s="1"/>
  <c r="P8" l="1"/>
  <c r="M9"/>
  <c r="L7"/>
  <c r="L33" s="1"/>
  <c r="J43"/>
  <c r="R24"/>
  <c r="K35"/>
  <c r="K37" s="1"/>
  <c r="K41" s="1"/>
  <c r="L35" l="1"/>
  <c r="L37" s="1"/>
  <c r="L41" s="1"/>
  <c r="Q8"/>
  <c r="S24"/>
  <c r="K43"/>
  <c r="N9"/>
  <c r="M7"/>
  <c r="M33" s="1"/>
  <c r="O9" l="1"/>
  <c r="N7"/>
  <c r="N33" s="1"/>
  <c r="M35"/>
  <c r="M37" s="1"/>
  <c r="M41" s="1"/>
  <c r="L43"/>
  <c r="T24"/>
  <c r="T20" s="1"/>
  <c r="R8"/>
  <c r="N35" l="1"/>
  <c r="N37" s="1"/>
  <c r="N41" s="1"/>
  <c r="S8"/>
  <c r="U24"/>
  <c r="M43"/>
  <c r="P9"/>
  <c r="O7"/>
  <c r="O33" s="1"/>
  <c r="U20" l="1"/>
  <c r="Q9"/>
  <c r="P7"/>
  <c r="P33" s="1"/>
  <c r="T8"/>
  <c r="O35"/>
  <c r="O37" s="1"/>
  <c r="O41" s="1"/>
  <c r="N43"/>
  <c r="P35" l="1"/>
  <c r="P37" s="1"/>
  <c r="P41" s="1"/>
  <c r="O43"/>
  <c r="U8"/>
  <c r="R9"/>
  <c r="Q7"/>
  <c r="Q33" s="1"/>
  <c r="Q35" l="1"/>
  <c r="Q37" s="1"/>
  <c r="Q41" s="1"/>
  <c r="P43"/>
  <c r="S9"/>
  <c r="R7"/>
  <c r="R33" s="1"/>
  <c r="R35" l="1"/>
  <c r="R37" s="1"/>
  <c r="R41" s="1"/>
  <c r="T9"/>
  <c r="S7"/>
  <c r="S33" s="1"/>
  <c r="Q43"/>
  <c r="R43" l="1"/>
  <c r="U9"/>
  <c r="U7" s="1"/>
  <c r="U33" s="1"/>
  <c r="T7"/>
  <c r="T33" s="1"/>
  <c r="S35"/>
  <c r="S37" s="1"/>
  <c r="S41" s="1"/>
  <c r="B45" l="1"/>
  <c r="S43"/>
  <c r="U35"/>
  <c r="U37" s="1"/>
  <c r="U41" s="1"/>
  <c r="T35"/>
  <c r="T37" s="1"/>
  <c r="T41" s="1"/>
  <c r="T43" l="1"/>
  <c r="U43" s="1"/>
  <c r="B46"/>
</calcChain>
</file>

<file path=xl/sharedStrings.xml><?xml version="1.0" encoding="utf-8"?>
<sst xmlns="http://schemas.openxmlformats.org/spreadsheetml/2006/main" count="480" uniqueCount="263">
  <si>
    <t>Qty</t>
  </si>
  <si>
    <t>Cost</t>
  </si>
  <si>
    <t>Factor</t>
  </si>
  <si>
    <t>Title</t>
  </si>
  <si>
    <t>Plant Operator</t>
  </si>
  <si>
    <t>Maintainence</t>
  </si>
  <si>
    <t>Process Engineer</t>
  </si>
  <si>
    <t>Day shift only</t>
  </si>
  <si>
    <t>Janitor</t>
  </si>
  <si>
    <t>Shift Supervisor</t>
  </si>
  <si>
    <t>Shipping &amp; Receiving</t>
  </si>
  <si>
    <t>Administrator</t>
  </si>
  <si>
    <t>Tank Farm Operator</t>
  </si>
  <si>
    <t xml:space="preserve">1 per shift </t>
  </si>
  <si>
    <t>Fringes</t>
  </si>
  <si>
    <t>Salary Subtotal</t>
  </si>
  <si>
    <t>Additional Subtotal</t>
  </si>
  <si>
    <t>TOTAL</t>
  </si>
  <si>
    <t>Annual Salary</t>
  </si>
  <si>
    <t>Year</t>
  </si>
  <si>
    <t>Capital Cost</t>
  </si>
  <si>
    <t>Revenues</t>
  </si>
  <si>
    <t>Expenses</t>
  </si>
  <si>
    <t>Utilities</t>
  </si>
  <si>
    <t>Loan Expense</t>
  </si>
  <si>
    <t>Steam Generation</t>
  </si>
  <si>
    <t>Cooling water</t>
  </si>
  <si>
    <t>Electrical</t>
  </si>
  <si>
    <t>Salaries and Fringes</t>
  </si>
  <si>
    <t>Maintenance</t>
  </si>
  <si>
    <t>3% of cap cost</t>
  </si>
  <si>
    <t>Raw Materials</t>
  </si>
  <si>
    <t>Total Expenses</t>
  </si>
  <si>
    <t>Income before Taxes</t>
  </si>
  <si>
    <t>Taxes, 40%</t>
  </si>
  <si>
    <t>Income After Taxes</t>
  </si>
  <si>
    <t>Add Back Depreciation</t>
  </si>
  <si>
    <t xml:space="preserve">Cash Flow From </t>
  </si>
  <si>
    <t>Operations</t>
  </si>
  <si>
    <t>Cumulative Cash Flow</t>
  </si>
  <si>
    <t>NPV</t>
  </si>
  <si>
    <t>IRR</t>
  </si>
  <si>
    <t>Interest</t>
  </si>
  <si>
    <t>Income Statement for Team Golf</t>
  </si>
  <si>
    <t>Inflation</t>
  </si>
  <si>
    <t>2 per shift in four rotating 12hr shifts</t>
  </si>
  <si>
    <t>1 per shift in four rotating 12 hr shifts</t>
  </si>
  <si>
    <t>955500 ton/Yr @ $50/ton</t>
  </si>
  <si>
    <t>Analytical Chemists</t>
  </si>
  <si>
    <t>1 per shift</t>
  </si>
  <si>
    <t>Equipment Number</t>
  </si>
  <si>
    <t>Name</t>
  </si>
  <si>
    <t>Description</t>
  </si>
  <si>
    <t>Metallurgy</t>
  </si>
  <si>
    <t>Motor Horsepower</t>
  </si>
  <si>
    <t xml:space="preserve">Operating Pressure </t>
  </si>
  <si>
    <t>SS304</t>
  </si>
  <si>
    <t>N/A</t>
  </si>
  <si>
    <t>Comp-01</t>
  </si>
  <si>
    <t>Syngas Compressor</t>
  </si>
  <si>
    <t>Comp-02</t>
  </si>
  <si>
    <t>HX-01</t>
  </si>
  <si>
    <t>Heat Exchanger 1</t>
  </si>
  <si>
    <t>Wetted SS304 and ss fittings</t>
  </si>
  <si>
    <t>Hot-458                      Cold- 197</t>
  </si>
  <si>
    <t>Heater-01</t>
  </si>
  <si>
    <t>Feed Heater-01</t>
  </si>
  <si>
    <t>Lurgi reactor</t>
  </si>
  <si>
    <t>Lurgi Reactor</t>
  </si>
  <si>
    <t>HX-02</t>
  </si>
  <si>
    <t>Heat Exchanger 2</t>
  </si>
  <si>
    <t>ss304</t>
  </si>
  <si>
    <t>Flash-01</t>
  </si>
  <si>
    <t>Flash Column  1</t>
  </si>
  <si>
    <t>Heater-02</t>
  </si>
  <si>
    <t>Flash Column turbine</t>
  </si>
  <si>
    <t>D-01</t>
  </si>
  <si>
    <t>Distillation tower 1</t>
  </si>
  <si>
    <t>D-02</t>
  </si>
  <si>
    <t>MeOH dist column 2</t>
  </si>
  <si>
    <t xml:space="preserve">CSTR 1 </t>
  </si>
  <si>
    <t>Acetic Acid reactor</t>
  </si>
  <si>
    <t>SS316/hastealloy B</t>
  </si>
  <si>
    <t>FV-01</t>
  </si>
  <si>
    <t>Flash Valve</t>
  </si>
  <si>
    <t>Lowers pressure of products from CSTR to 50 psi</t>
  </si>
  <si>
    <t>Product cooler</t>
  </si>
  <si>
    <t>AA sub total</t>
  </si>
  <si>
    <t>Direct Costs</t>
  </si>
  <si>
    <t>Instillation</t>
  </si>
  <si>
    <t xml:space="preserve">Controls and Inst. </t>
  </si>
  <si>
    <t>Piping</t>
  </si>
  <si>
    <t>Electrical systems installed</t>
  </si>
  <si>
    <t>Buildings</t>
  </si>
  <si>
    <t>Yard Improvement</t>
  </si>
  <si>
    <t>Service facilities</t>
  </si>
  <si>
    <t xml:space="preserve">Direct Cost subtotal </t>
  </si>
  <si>
    <t>Indirect Costs</t>
  </si>
  <si>
    <t>Engineering and Supervision</t>
  </si>
  <si>
    <t>Construction Expenses</t>
  </si>
  <si>
    <t>Legal Expenses</t>
  </si>
  <si>
    <t>Contractors Fee</t>
  </si>
  <si>
    <t>Contingency</t>
  </si>
  <si>
    <t>Indirect Cost Subtotal</t>
  </si>
  <si>
    <t xml:space="preserve">Capital Investement </t>
  </si>
  <si>
    <t>Total Salaries</t>
  </si>
  <si>
    <t>Equipment subtotal</t>
  </si>
  <si>
    <t>Total Installed Costs</t>
  </si>
  <si>
    <r>
      <t>Operating Temperature (</t>
    </r>
    <r>
      <rPr>
        <vertAlign val="superscript"/>
        <sz val="8"/>
        <color indexed="8"/>
        <rFont val="Calibri"/>
        <family val="2"/>
      </rPr>
      <t>0</t>
    </r>
    <r>
      <rPr>
        <sz val="8"/>
        <rFont val="Arial"/>
        <family val="2"/>
      </rPr>
      <t>F)</t>
    </r>
  </si>
  <si>
    <t>Compress Syngas before entering the Lurgi methanol converter at an outlet pressure of 725 psia and Temp of 197 with a flow rate of 113749.996 lb/hr</t>
  </si>
  <si>
    <t>Compress Syngas before entering the Lurgi methanol converter works in parallel with C-01 to compress the syngas to 197F and 725 psia</t>
  </si>
  <si>
    <t>Heats incoming syngas at 197F and 725 psia to 350F and 725psia while using a cooling stream of water coming in at 458F and exiting and 725psia with a heat duty of 11540802 BTU/hr</t>
  </si>
  <si>
    <t>Heats the syngas feed to Lurgi reactor to desired operating Temperature of 458F with a heat duty of 8158821 Btu/hr</t>
  </si>
  <si>
    <t>Lurgi Methanol converter 6851tubes (1.5" overall diameter x .078 wall thickness x 22'11.375" long) operating at 458F and 725 psia</t>
  </si>
  <si>
    <t>H-02</t>
  </si>
  <si>
    <t>Heats the Flash column tops from 100F to 458F to be recycled back to the Lurgi Reactor with a Heat duty of 371424458Btu/hr</t>
  </si>
  <si>
    <t>Further cools Product stream before flash column using a hot stream coming in at 447F and 725 psia and exiting at 100F and 725psia using a cold water stream at 68F and 14.7psia with a heat duty of 432826605Btu/hr</t>
  </si>
  <si>
    <t>Flashes the cooled product stream from the Lurgi reactor to be purified at 458F and 725psia  with an outlet temperature of 100F while recycling the tops products to the Lurgi reactor with a heat duty of 888218BTU/hr</t>
  </si>
  <si>
    <t>P-01</t>
  </si>
  <si>
    <t xml:space="preserve">Reduces the flashed products pressure to the distillation and purification process from 725psia to 8.7 psia with 60kW of electricity drawn off per hour at a flow rate of 2306cuft/hr </t>
  </si>
  <si>
    <t>H-03</t>
  </si>
  <si>
    <t>Heater-03</t>
  </si>
  <si>
    <t>Heats the crude methanol before purification from 100F to 120F at 8.7psia with a heat duty of 4595173Btu/hr with a flow rate of 112001 lb/hr</t>
  </si>
  <si>
    <t>Distilled crude methanol sends light ends to flare with 3 bubble cap stages and a diameter of 2.3ft and 2ft spacing between trays with the light gasses coming out the top being sent to flare</t>
  </si>
  <si>
    <t>Rb-01</t>
  </si>
  <si>
    <t>Reboiler 1</t>
  </si>
  <si>
    <t>Reboils the bottoms product back to distillation column 1 at 120F and 8.7 psia with a heat duty of 897210 BTU/hr with a reflux ratio of 16.7</t>
  </si>
  <si>
    <t>P-03</t>
  </si>
  <si>
    <t>Pump 3</t>
  </si>
  <si>
    <t>Pumps the bottoms from D-01 to the second distillation column at 128F and 14.7psi with a flow rate of 3468 lbmol/hr with an electricity requirement of 1kw/hr</t>
  </si>
  <si>
    <t>Second distillation column to provide grade A MeOH with 20 stages using bubble cap stages operating at 14.7 psia and 151F with a diameter of 12.1ft and a tray spacing of 2ft and a reflux ratio of .9</t>
  </si>
  <si>
    <t>D-02 cond</t>
  </si>
  <si>
    <t>D-02 condensor</t>
  </si>
  <si>
    <t>Condenses the reflux stream back to the distillation column at 14.7 psia and 151F</t>
  </si>
  <si>
    <t>D-02 reb</t>
  </si>
  <si>
    <t>Reboils the bottoms product back to distillation column 2 at 1151F and 14.7 psia with a heat duty of 102371653 and reflux ratio of .9</t>
  </si>
  <si>
    <t>N/a</t>
  </si>
  <si>
    <t>D-02 reflux pump</t>
  </si>
  <si>
    <t>pumps the stream from the reboiler and reflux drum back to D-02 at 14.7 psia and 151F with a electrcity requirement of 11.6kw/hr</t>
  </si>
  <si>
    <t>RD-01</t>
  </si>
  <si>
    <t xml:space="preserve">Reflux drum for D-02 </t>
  </si>
  <si>
    <t>p-05</t>
  </si>
  <si>
    <t>pump 5</t>
  </si>
  <si>
    <t>Pumps the Methanol from d-02 at 14.7 psi and 152F with a electricty requirement of 53kW/hr and a flow rate of 16773 gal/hr</t>
  </si>
  <si>
    <t>p-06</t>
  </si>
  <si>
    <t>Pump 6</t>
  </si>
  <si>
    <t xml:space="preserve">Pumps the water from D-02 at 14.7 psia and 151F to the AA process at 141 gallon/hr of 93% methanol </t>
  </si>
  <si>
    <t>H-04</t>
  </si>
  <si>
    <t>Heater-04</t>
  </si>
  <si>
    <t>heats the MeOH from 151F to 350F to be sent to the AA process with a heat duty of 60526737Btu/hr</t>
  </si>
  <si>
    <t>MEOH sub total</t>
  </si>
  <si>
    <t>Acetic Acid Process</t>
  </si>
  <si>
    <t>Mixes MeoH and Co for Methanol carbonylation  operating at 304psia and 350F with a volume of 150m^3 with a heat duty of -207923117btu/hr</t>
  </si>
  <si>
    <t>H-06</t>
  </si>
  <si>
    <t>Cools the AA products to 220 F at 50 psi with a heat duty of -13636717btu/hr</t>
  </si>
  <si>
    <t>H-07</t>
  </si>
  <si>
    <t>Heater 7</t>
  </si>
  <si>
    <t>Heats the flash and d-3 recycle streams from 326F to 350F to be recycled back into the AA CSTR with a heat duty of 742330BTU/hr</t>
  </si>
  <si>
    <t>F-02</t>
  </si>
  <si>
    <t>Flash Drum-2</t>
  </si>
  <si>
    <t>Flashes the AA stream to 321F and 65psi from 50psi and 220F with a heat duty of 41321244Btu/hr D=10ft</t>
  </si>
  <si>
    <t>H-08</t>
  </si>
  <si>
    <t>Heater 8</t>
  </si>
  <si>
    <t>Cools the tops of F-02 from 312F to 220F at 65psia before entering D-03 to be seperated further</t>
  </si>
  <si>
    <t>p-07</t>
  </si>
  <si>
    <t>Pump 7</t>
  </si>
  <si>
    <t>Pumps the bottoms of the flash column products at 304 psia to be heated then recycled to the AA reactor with an electricty usage of 21kW/hr</t>
  </si>
  <si>
    <t>D-03</t>
  </si>
  <si>
    <t>Distillation Column 3</t>
  </si>
  <si>
    <t>reflux pump</t>
  </si>
  <si>
    <t>pump the reflux from d-03 back to the column to be recycled at 50 psia and 200 F with an electricty usage of 53kW/hr</t>
  </si>
  <si>
    <t>reboiler</t>
  </si>
  <si>
    <t>Reboils the bottoms stream of D-03 to be recycled into the column at 335F and 50 psia with a heat duty of 397337300btu/hr</t>
  </si>
  <si>
    <t>Condensor</t>
  </si>
  <si>
    <t>Condenses the gas stream tops before further processing operating at -93F and 50 psia with a heat duty of -410444394btu/hr</t>
  </si>
  <si>
    <t>Reflux drum</t>
  </si>
  <si>
    <t>Drum for the reflux to be pumped into before being recycled back to D-03</t>
  </si>
  <si>
    <t>P-09</t>
  </si>
  <si>
    <t>pump 9</t>
  </si>
  <si>
    <t>Pumps the bottoms of D-03 at 331F and 53psi to 330F and 18psia before enetering the second distillation column for AA while drawing off  2.8kw/hr</t>
  </si>
  <si>
    <t>turbine</t>
  </si>
  <si>
    <t>H-09</t>
  </si>
  <si>
    <t>Heater 9</t>
  </si>
  <si>
    <t>heats the tops products of d-03 from -93F to 245F at 50psia with a heat duty of 32129535Btu/hr</t>
  </si>
  <si>
    <t>C-02</t>
  </si>
  <si>
    <t>Compressor 2</t>
  </si>
  <si>
    <t xml:space="preserve">Compresses the stream from h-09 from 50 psia to 304 psia and 245F to 514F before being recycled to the AA reactor </t>
  </si>
  <si>
    <t>D-04</t>
  </si>
  <si>
    <t>Distillation Column 4</t>
  </si>
  <si>
    <t>2nd Distillation column of the acetic acid process with 30 stages of bubble cap trays spaced at 2 ft apart with a reflux ratio of 12 and a column diameter of 25ft witht the feed at 330F and 18psia</t>
  </si>
  <si>
    <t>pump the reflux from d-04 back to the column to be recycled at 18 psia and 244 F with an electricty usage of 53kW/hr</t>
  </si>
  <si>
    <t>Reboiler</t>
  </si>
  <si>
    <t>Reboils the bottoms stream of D-04 to be recycled into the column at 18psia and 244F with a heat duty of 216781907btu/hr</t>
  </si>
  <si>
    <t>Condenses the gas stream tops before further processing operating at 244F and 18 psia with a heat duty of -222557940btu/hr</t>
  </si>
  <si>
    <t xml:space="preserve">Reflux Drum </t>
  </si>
  <si>
    <t>Drum for the reflux to be pumped into before being recycled back to D-04</t>
  </si>
  <si>
    <t>P-11</t>
  </si>
  <si>
    <t>pump 11</t>
  </si>
  <si>
    <t>Pumps the bottoms of D-04 to d-05 for further refining at 17.6psia at 259F</t>
  </si>
  <si>
    <t>H-11</t>
  </si>
  <si>
    <t>heater 11</t>
  </si>
  <si>
    <t>Cools the tops stream offf the condensor to 70F and 14.7 psia with a heat duty of -8939472Btu/hr</t>
  </si>
  <si>
    <t>D-05</t>
  </si>
  <si>
    <t>Distillation column 5</t>
  </si>
  <si>
    <t>3rd Distillation column of the acetic acid process with 43 stages of bubble cap trays spaced at 2 ft apart with a reflux ratio of 1 and a column diameter of 1.15ft with the feed at 259F and 17.6psia</t>
  </si>
  <si>
    <t>Reflux pump</t>
  </si>
  <si>
    <t>pump the reflux from d-05 back to the column to be recycled at 17.6 psia and 245 F with an electricty usage of 53kW/hr</t>
  </si>
  <si>
    <t>Reboils the bottoms stream of D-05 to be recycled into the column at 17.6 and 300 with a heat duty of 607821Btu/hr</t>
  </si>
  <si>
    <t>Condenses the gas stream tops before further processing operating at 245F and 17.6 psia with a heat duty of -618252Btu/hr</t>
  </si>
  <si>
    <t>Reflux Drum</t>
  </si>
  <si>
    <t>Drum for the reflux to be pumped into before being recycled back to D-05</t>
  </si>
  <si>
    <t>H-12</t>
  </si>
  <si>
    <t>Heater 12</t>
  </si>
  <si>
    <t>Cools the tops products from the reflux drum to 70F and 14.7psia with a Heat duty of -140793Btu/hr</t>
  </si>
  <si>
    <t>Heater 13</t>
  </si>
  <si>
    <t>Cools the bottoms products of D-05 to 70F and 14.7 psia with a heat duty of -21502.515</t>
  </si>
  <si>
    <t>Instrament air Comp</t>
  </si>
  <si>
    <t>ia compressor</t>
  </si>
  <si>
    <t>Compresses air for the various instraments in the process from 14.7 psia to 100psia with a flow rate of 8000scfm with a electrical cost of 101$/hr</t>
  </si>
  <si>
    <t>SS316/HastealloyB</t>
  </si>
  <si>
    <t xml:space="preserve">Cooling package </t>
  </si>
  <si>
    <t>6 Cell cooling pacakge</t>
  </si>
  <si>
    <t xml:space="preserve">The cooling water is pumped through a air cooled 6 cell system to remove heat from the return heated cooling water </t>
  </si>
  <si>
    <t xml:space="preserve">6 fans </t>
  </si>
  <si>
    <t>Circulate air over the cooling cells</t>
  </si>
  <si>
    <t>6 fan motors</t>
  </si>
  <si>
    <t xml:space="preserve">Power the fans </t>
  </si>
  <si>
    <t>2 pumps for water circulation</t>
  </si>
  <si>
    <t xml:space="preserve">Pump the Cooling water to each of the needed units 1 serves as a back up </t>
  </si>
  <si>
    <t xml:space="preserve">cooling package price </t>
  </si>
  <si>
    <t>Heating Package</t>
  </si>
  <si>
    <t>Boiler/startup</t>
  </si>
  <si>
    <t>Airator</t>
  </si>
  <si>
    <t>boiler pump</t>
  </si>
  <si>
    <t>total</t>
  </si>
  <si>
    <t>to be priced water system and cooling tower/ start up boiler with fans and heating pumps</t>
  </si>
  <si>
    <t>assume price~ 35mm</t>
  </si>
  <si>
    <t>Sum of Years Depreciation</t>
  </si>
  <si>
    <t xml:space="preserve"> </t>
  </si>
  <si>
    <t>831 tons Propionic Acid at $1800/ton</t>
  </si>
  <si>
    <t>7560 tons Industrial AcA at $330/ton</t>
  </si>
  <si>
    <t>495,600 tons Glacial AcA at $1050/ton</t>
  </si>
  <si>
    <t xml:space="preserve">  Steam Generation</t>
  </si>
  <si>
    <t xml:space="preserve">  Cooling water</t>
  </si>
  <si>
    <t xml:space="preserve">  Electrical</t>
  </si>
  <si>
    <t>Maintenance 3% of cap cost</t>
  </si>
  <si>
    <t>Start-Up</t>
  </si>
  <si>
    <t xml:space="preserve">  Engineering</t>
  </si>
  <si>
    <t xml:space="preserve">  Equip Purchase</t>
  </si>
  <si>
    <t xml:space="preserve">  Plant Construction</t>
  </si>
  <si>
    <t>Cash Flow From Operations</t>
  </si>
  <si>
    <t>1654 tons Propionic Acid at $1800/ton</t>
  </si>
  <si>
    <t>13,368 tons Industrial AcA at $330/ton</t>
  </si>
  <si>
    <t>886,586 tons Glacial AcA at $1050/ton</t>
  </si>
  <si>
    <t xml:space="preserve">  Natural Gas</t>
  </si>
  <si>
    <t>Products</t>
  </si>
  <si>
    <t>Raw Mat</t>
  </si>
  <si>
    <t>Utility</t>
  </si>
  <si>
    <t>Capital</t>
  </si>
  <si>
    <t>Guards</t>
  </si>
  <si>
    <t>Petcoke Loader</t>
  </si>
  <si>
    <t>35,000 tons Sulfur at $70/ton</t>
  </si>
  <si>
    <t>Catlysts</t>
  </si>
</sst>
</file>

<file path=xl/styles.xml><?xml version="1.0" encoding="utf-8"?>
<styleSheet xmlns="http://schemas.openxmlformats.org/spreadsheetml/2006/main">
  <numFmts count="5">
    <numFmt numFmtId="6" formatCode="&quot;$&quot;#,##0_);[Red]\(&quot;$&quot;#,##0\)"/>
    <numFmt numFmtId="8" formatCode="&quot;$&quot;#,##0.00_);[Red]\(&quot;$&quot;#,##0.00\)"/>
    <numFmt numFmtId="44" formatCode="_(&quot;$&quot;* #,##0.00_);_(&quot;$&quot;* \(#,##0.00\);_(&quot;$&quot;* &quot;-&quot;??_);_(@_)"/>
    <numFmt numFmtId="43" formatCode="_(* #,##0.00_);_(* \(#,##0.00\);_(* &quot;-&quot;??_);_(@_)"/>
    <numFmt numFmtId="164" formatCode="&quot;$&quot;#,##0.00"/>
  </numFmts>
  <fonts count="22">
    <font>
      <sz val="11"/>
      <color theme="1"/>
      <name val="Calibri"/>
      <family val="2"/>
      <scheme val="minor"/>
    </font>
    <font>
      <sz val="11"/>
      <color indexed="8"/>
      <name val="Calibri"/>
      <family val="2"/>
    </font>
    <font>
      <sz val="11"/>
      <color indexed="8"/>
      <name val="Calibri"/>
      <family val="2"/>
    </font>
    <font>
      <b/>
      <sz val="11"/>
      <color indexed="8"/>
      <name val="Calibri"/>
      <family val="2"/>
    </font>
    <font>
      <b/>
      <sz val="11"/>
      <color indexed="8"/>
      <name val="Calibri"/>
      <family val="2"/>
    </font>
    <font>
      <b/>
      <u/>
      <sz val="11"/>
      <color indexed="8"/>
      <name val="Calibri"/>
      <family val="2"/>
    </font>
    <font>
      <u/>
      <sz val="11"/>
      <color indexed="8"/>
      <name val="Calibri"/>
      <family val="2"/>
    </font>
    <font>
      <b/>
      <sz val="16"/>
      <color indexed="8"/>
      <name val="Calibri"/>
      <family val="2"/>
    </font>
    <font>
      <sz val="8"/>
      <name val="Calibri"/>
      <family val="2"/>
    </font>
    <font>
      <sz val="10"/>
      <name val="Arial"/>
      <family val="2"/>
    </font>
    <font>
      <sz val="11"/>
      <color indexed="8"/>
      <name val="Calibri"/>
      <family val="2"/>
    </font>
    <font>
      <b/>
      <sz val="18"/>
      <color indexed="8"/>
      <name val="Calibri"/>
      <family val="2"/>
    </font>
    <font>
      <sz val="8"/>
      <name val="Arial"/>
      <family val="2"/>
    </font>
    <font>
      <vertAlign val="superscript"/>
      <sz val="8"/>
      <color indexed="8"/>
      <name val="Calibri"/>
      <family val="2"/>
    </font>
    <font>
      <b/>
      <sz val="8"/>
      <name val="Arial"/>
      <family val="2"/>
    </font>
    <font>
      <sz val="8"/>
      <name val="Times New Roman"/>
      <family val="1"/>
    </font>
    <font>
      <sz val="11"/>
      <color indexed="8"/>
      <name val="Calibri"/>
      <family val="2"/>
    </font>
    <font>
      <u/>
      <sz val="11"/>
      <color indexed="8"/>
      <name val="Calibri"/>
      <family val="2"/>
    </font>
    <font>
      <b/>
      <sz val="10"/>
      <name val="Arial"/>
      <family val="2"/>
    </font>
    <font>
      <sz val="11"/>
      <color theme="1"/>
      <name val="Calibri"/>
      <family val="2"/>
      <scheme val="minor"/>
    </font>
    <font>
      <i/>
      <sz val="11"/>
      <name val="Calibri"/>
      <family val="2"/>
    </font>
    <font>
      <i/>
      <sz val="11"/>
      <color theme="1"/>
      <name val="Calibri"/>
      <family val="2"/>
      <scheme val="minor"/>
    </font>
  </fonts>
  <fills count="2">
    <fill>
      <patternFill patternType="none"/>
    </fill>
    <fill>
      <patternFill patternType="gray125"/>
    </fill>
  </fills>
  <borders count="2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3" fontId="10" fillId="0" borderId="0" applyFont="0" applyFill="0" applyBorder="0" applyAlignment="0" applyProtection="0"/>
    <xf numFmtId="44" fontId="10" fillId="0" borderId="0" applyFont="0" applyFill="0" applyBorder="0" applyAlignment="0" applyProtection="0"/>
  </cellStyleXfs>
  <cellXfs count="97">
    <xf numFmtId="0" fontId="0" fillId="0" borderId="0" xfId="0"/>
    <xf numFmtId="0" fontId="0" fillId="0" borderId="0" xfId="0" applyAlignment="1">
      <alignment horizontal="center"/>
    </xf>
    <xf numFmtId="0" fontId="0" fillId="0" borderId="0" xfId="0" applyAlignment="1">
      <alignment horizontal="right"/>
    </xf>
    <xf numFmtId="164" fontId="0" fillId="0" borderId="0" xfId="0" applyNumberFormat="1" applyAlignment="1">
      <alignment horizontal="right"/>
    </xf>
    <xf numFmtId="0" fontId="3" fillId="0" borderId="0" xfId="0" applyFont="1" applyAlignment="1">
      <alignment horizontal="right"/>
    </xf>
    <xf numFmtId="4" fontId="0" fillId="0" borderId="0" xfId="0" applyNumberFormat="1" applyAlignment="1">
      <alignment horizontal="center"/>
    </xf>
    <xf numFmtId="0" fontId="3" fillId="0" borderId="1" xfId="0" applyFont="1" applyBorder="1"/>
    <xf numFmtId="0" fontId="3" fillId="0" borderId="1" xfId="0" applyFont="1" applyBorder="1" applyAlignment="1">
      <alignment horizontal="center"/>
    </xf>
    <xf numFmtId="0" fontId="3" fillId="0" borderId="1" xfId="0" applyFont="1" applyBorder="1" applyAlignment="1">
      <alignment horizontal="right"/>
    </xf>
    <xf numFmtId="0" fontId="0" fillId="0" borderId="1" xfId="0" applyBorder="1"/>
    <xf numFmtId="164" fontId="0" fillId="0" borderId="2" xfId="0" applyNumberFormat="1" applyBorder="1" applyAlignment="1">
      <alignment horizontal="right"/>
    </xf>
    <xf numFmtId="0" fontId="4" fillId="0" borderId="0" xfId="0" applyFont="1"/>
    <xf numFmtId="0" fontId="5" fillId="0" borderId="0" xfId="0" applyFont="1"/>
    <xf numFmtId="0" fontId="6" fillId="0" borderId="0" xfId="0" applyFont="1"/>
    <xf numFmtId="6" fontId="0" fillId="0" borderId="0" xfId="0" applyNumberFormat="1"/>
    <xf numFmtId="10" fontId="0" fillId="0" borderId="0" xfId="0" applyNumberFormat="1"/>
    <xf numFmtId="4" fontId="0" fillId="0" borderId="0" xfId="0" applyNumberFormat="1"/>
    <xf numFmtId="0" fontId="7" fillId="0" borderId="0" xfId="0" applyFont="1"/>
    <xf numFmtId="0" fontId="0" fillId="0" borderId="0" xfId="0" applyFill="1"/>
    <xf numFmtId="0" fontId="0" fillId="0" borderId="0" xfId="0" applyFill="1" applyAlignment="1">
      <alignment horizontal="center"/>
    </xf>
    <xf numFmtId="164" fontId="0" fillId="0" borderId="0" xfId="0" applyNumberFormat="1" applyFill="1" applyAlignment="1">
      <alignment horizontal="right"/>
    </xf>
    <xf numFmtId="4" fontId="0" fillId="0" borderId="0" xfId="0" applyNumberFormat="1" applyBorder="1" applyAlignment="1">
      <alignment horizontal="right"/>
    </xf>
    <xf numFmtId="0" fontId="0" fillId="0" borderId="0" xfId="0" applyAlignment="1"/>
    <xf numFmtId="8" fontId="0" fillId="0" borderId="0" xfId="0" applyNumberFormat="1" applyAlignment="1"/>
    <xf numFmtId="8" fontId="3" fillId="0" borderId="0" xfId="0" applyNumberFormat="1" applyFont="1" applyAlignment="1">
      <alignment horizontal="right"/>
    </xf>
    <xf numFmtId="44" fontId="16" fillId="0" borderId="0" xfId="2" applyFont="1" applyAlignment="1">
      <alignment horizontal="right"/>
    </xf>
    <xf numFmtId="0" fontId="11" fillId="0" borderId="0" xfId="0" applyFont="1"/>
    <xf numFmtId="4" fontId="16" fillId="0" borderId="0" xfId="1" applyNumberFormat="1" applyFont="1" applyAlignment="1"/>
    <xf numFmtId="0" fontId="12" fillId="0" borderId="4" xfId="0" applyFont="1" applyBorder="1" applyAlignment="1">
      <alignment horizontal="center" vertical="top" wrapText="1" shrinkToFit="1"/>
    </xf>
    <xf numFmtId="0" fontId="12" fillId="0" borderId="5" xfId="0" applyFont="1" applyBorder="1" applyAlignment="1">
      <alignment horizontal="center" vertical="top" wrapText="1" shrinkToFit="1"/>
    </xf>
    <xf numFmtId="0" fontId="12" fillId="0" borderId="6" xfId="0" applyFont="1" applyBorder="1" applyAlignment="1">
      <alignment horizontal="center" vertical="top" wrapText="1" shrinkToFit="1"/>
    </xf>
    <xf numFmtId="0" fontId="12" fillId="0" borderId="3" xfId="0" applyFont="1" applyBorder="1" applyAlignment="1">
      <alignment horizontal="center" vertical="top" wrapText="1" shrinkToFit="1"/>
    </xf>
    <xf numFmtId="6" fontId="12" fillId="0" borderId="3" xfId="0" applyNumberFormat="1" applyFont="1" applyBorder="1" applyAlignment="1">
      <alignment horizontal="center" wrapText="1" shrinkToFit="1"/>
    </xf>
    <xf numFmtId="0" fontId="12" fillId="0" borderId="6" xfId="0" applyFont="1" applyBorder="1" applyAlignment="1">
      <alignment horizontal="center" wrapText="1" shrinkToFit="1"/>
    </xf>
    <xf numFmtId="0" fontId="12" fillId="0" borderId="3" xfId="0" applyFont="1" applyBorder="1" applyAlignment="1">
      <alignment horizontal="center" wrapText="1" shrinkToFit="1"/>
    </xf>
    <xf numFmtId="0" fontId="12" fillId="0" borderId="6" xfId="0" applyFont="1" applyBorder="1" applyAlignment="1">
      <alignment horizontal="center" wrapText="1"/>
    </xf>
    <xf numFmtId="0" fontId="12" fillId="0" borderId="3" xfId="0" applyFont="1" applyBorder="1" applyAlignment="1">
      <alignment horizontal="center" wrapText="1"/>
    </xf>
    <xf numFmtId="6" fontId="12" fillId="0" borderId="3" xfId="0" applyNumberFormat="1" applyFont="1" applyBorder="1" applyAlignment="1">
      <alignment horizontal="center" wrapText="1"/>
    </xf>
    <xf numFmtId="0" fontId="14" fillId="0" borderId="6" xfId="0" applyFont="1" applyBorder="1" applyAlignment="1">
      <alignment horizontal="center" wrapText="1"/>
    </xf>
    <xf numFmtId="6" fontId="14" fillId="0" borderId="3" xfId="0" applyNumberFormat="1" applyFont="1" applyBorder="1" applyAlignment="1">
      <alignment horizontal="center" wrapText="1"/>
    </xf>
    <xf numFmtId="3" fontId="12" fillId="0" borderId="3" xfId="0" applyNumberFormat="1" applyFont="1" applyBorder="1" applyAlignment="1">
      <alignment horizontal="center" wrapText="1"/>
    </xf>
    <xf numFmtId="0" fontId="14" fillId="0" borderId="3" xfId="0" applyFont="1" applyBorder="1" applyAlignment="1">
      <alignment horizontal="center" wrapText="1"/>
    </xf>
    <xf numFmtId="0" fontId="15" fillId="0" borderId="0" xfId="0" applyFont="1" applyAlignment="1">
      <alignment horizontal="center" wrapText="1"/>
    </xf>
    <xf numFmtId="0" fontId="12" fillId="0" borderId="0" xfId="0" applyFont="1" applyAlignment="1">
      <alignment horizontal="center" wrapText="1"/>
    </xf>
    <xf numFmtId="0" fontId="0" fillId="0" borderId="0" xfId="0" applyAlignment="1">
      <alignment wrapText="1"/>
    </xf>
    <xf numFmtId="4" fontId="0" fillId="0" borderId="7" xfId="0" applyNumberFormat="1" applyBorder="1"/>
    <xf numFmtId="0" fontId="0" fillId="0" borderId="7" xfId="0" applyBorder="1"/>
    <xf numFmtId="4" fontId="0" fillId="0" borderId="7" xfId="0" applyNumberFormat="1" applyBorder="1" applyAlignment="1">
      <alignment horizontal="center"/>
    </xf>
    <xf numFmtId="4" fontId="16" fillId="0" borderId="7" xfId="1" applyNumberFormat="1" applyFont="1" applyBorder="1" applyAlignment="1"/>
    <xf numFmtId="4" fontId="0" fillId="0" borderId="7" xfId="0" applyNumberFormat="1" applyBorder="1" applyAlignment="1">
      <alignment horizontal="right"/>
    </xf>
    <xf numFmtId="10" fontId="0" fillId="0" borderId="8" xfId="0" applyNumberFormat="1" applyBorder="1"/>
    <xf numFmtId="0" fontId="0" fillId="0" borderId="8" xfId="0" applyBorder="1"/>
    <xf numFmtId="0" fontId="0" fillId="0" borderId="9" xfId="0" applyBorder="1" applyAlignment="1">
      <alignment horizontal="center"/>
    </xf>
    <xf numFmtId="0" fontId="0" fillId="0" borderId="10" xfId="0" applyBorder="1"/>
    <xf numFmtId="6" fontId="0" fillId="0" borderId="11" xfId="0" applyNumberFormat="1" applyBorder="1"/>
    <xf numFmtId="0" fontId="0" fillId="0" borderId="12" xfId="0" applyBorder="1"/>
    <xf numFmtId="0" fontId="0" fillId="0" borderId="13" xfId="0" applyBorder="1"/>
    <xf numFmtId="0" fontId="0" fillId="0" borderId="0" xfId="0" applyBorder="1"/>
    <xf numFmtId="10" fontId="0" fillId="0" borderId="0" xfId="0" applyNumberFormat="1" applyBorder="1"/>
    <xf numFmtId="4" fontId="0" fillId="0" borderId="13" xfId="0" applyNumberFormat="1" applyBorder="1"/>
    <xf numFmtId="4" fontId="0" fillId="0" borderId="0" xfId="0" applyNumberFormat="1" applyBorder="1"/>
    <xf numFmtId="6" fontId="0" fillId="0" borderId="13" xfId="0" applyNumberFormat="1" applyBorder="1"/>
    <xf numFmtId="6" fontId="0" fillId="0" borderId="0" xfId="0" applyNumberFormat="1" applyBorder="1"/>
    <xf numFmtId="10" fontId="0" fillId="0" borderId="13" xfId="0" applyNumberFormat="1" applyBorder="1"/>
    <xf numFmtId="4" fontId="0" fillId="0" borderId="8" xfId="0" applyNumberFormat="1" applyBorder="1"/>
    <xf numFmtId="0" fontId="4" fillId="0" borderId="7" xfId="0" applyFont="1" applyBorder="1"/>
    <xf numFmtId="0" fontId="5" fillId="0" borderId="7" xfId="0" applyFont="1" applyBorder="1"/>
    <xf numFmtId="0" fontId="2" fillId="0" borderId="7" xfId="0" applyFont="1" applyBorder="1" applyAlignment="1">
      <alignment wrapText="1"/>
    </xf>
    <xf numFmtId="0" fontId="0" fillId="0" borderId="7" xfId="0" applyBorder="1" applyAlignment="1">
      <alignment wrapText="1"/>
    </xf>
    <xf numFmtId="0" fontId="6" fillId="0" borderId="7" xfId="0" applyFont="1" applyBorder="1"/>
    <xf numFmtId="0" fontId="0" fillId="0" borderId="14" xfId="0" applyBorder="1"/>
    <xf numFmtId="0" fontId="3" fillId="0" borderId="9" xfId="0" applyFont="1" applyBorder="1"/>
    <xf numFmtId="0" fontId="0" fillId="0" borderId="9" xfId="0" applyBorder="1"/>
    <xf numFmtId="0" fontId="17" fillId="0" borderId="0" xfId="0" applyFont="1"/>
    <xf numFmtId="43" fontId="16" fillId="0" borderId="0" xfId="1" applyFont="1" applyAlignment="1">
      <alignment horizontal="right"/>
    </xf>
    <xf numFmtId="43" fontId="19" fillId="0" borderId="0" xfId="1" applyFont="1" applyAlignment="1"/>
    <xf numFmtId="43" fontId="0" fillId="0" borderId="0" xfId="0" applyNumberFormat="1" applyAlignment="1"/>
    <xf numFmtId="4" fontId="0" fillId="0" borderId="0" xfId="0" applyNumberFormat="1" applyAlignment="1"/>
    <xf numFmtId="0" fontId="1" fillId="0" borderId="0" xfId="0" applyFont="1" applyAlignment="1">
      <alignment wrapText="1"/>
    </xf>
    <xf numFmtId="2" fontId="18" fillId="0" borderId="11" xfId="0" applyNumberFormat="1" applyFont="1" applyBorder="1" applyAlignment="1">
      <alignment horizontal="center"/>
    </xf>
    <xf numFmtId="0" fontId="18" fillId="0" borderId="15" xfId="0" applyFont="1" applyBorder="1" applyAlignment="1">
      <alignment horizontal="right"/>
    </xf>
    <xf numFmtId="0" fontId="0" fillId="0" borderId="16"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6" fontId="9" fillId="0" borderId="0" xfId="0" applyNumberFormat="1" applyFont="1" applyBorder="1" applyAlignment="1">
      <alignment horizontal="center" wrapText="1"/>
    </xf>
    <xf numFmtId="8" fontId="1" fillId="0" borderId="0" xfId="0" applyNumberFormat="1" applyFont="1" applyAlignment="1">
      <alignment horizontal="right"/>
    </xf>
    <xf numFmtId="0" fontId="20" fillId="0" borderId="0" xfId="0" applyFont="1" applyFill="1" applyBorder="1" applyAlignment="1">
      <alignment wrapText="1"/>
    </xf>
    <xf numFmtId="0" fontId="21" fillId="0" borderId="0" xfId="0" applyFont="1" applyAlignment="1">
      <alignment horizontal="center"/>
    </xf>
    <xf numFmtId="0" fontId="21" fillId="0" borderId="0" xfId="0" applyFont="1" applyAlignment="1"/>
    <xf numFmtId="0" fontId="1" fillId="0" borderId="0" xfId="0" applyFont="1"/>
    <xf numFmtId="0" fontId="18" fillId="0" borderId="2" xfId="0" applyFont="1" applyBorder="1" applyAlignment="1">
      <alignment horizontal="right" vertical="center" textRotation="90"/>
    </xf>
  </cellXfs>
  <cellStyles count="3">
    <cellStyle name="Comma" xfId="1" builtinId="3"/>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en-US"/>
  <c:style val="29"/>
  <c:chart>
    <c:title>
      <c:tx>
        <c:rich>
          <a:bodyPr/>
          <a:lstStyle/>
          <a:p>
            <a:pPr>
              <a:defRPr/>
            </a:pPr>
            <a:r>
              <a:rPr lang="en-US"/>
              <a:t>Economic Sensitivity Analysis</a:t>
            </a:r>
          </a:p>
        </c:rich>
      </c:tx>
      <c:layout>
        <c:manualLayout>
          <c:xMode val="edge"/>
          <c:yMode val="edge"/>
          <c:x val="0.21017654844426498"/>
          <c:y val="2.3188405797101443E-2"/>
        </c:manualLayout>
      </c:layout>
      <c:spPr>
        <a:noFill/>
        <a:ln>
          <a:solidFill>
            <a:schemeClr val="tx1"/>
          </a:solidFill>
        </a:ln>
        <a:effectLst>
          <a:outerShdw blurRad="50800" dist="38100" dir="18900000" algn="bl" rotWithShape="0">
            <a:prstClr val="black">
              <a:alpha val="40000"/>
            </a:prstClr>
          </a:outerShdw>
        </a:effectLst>
      </c:spPr>
    </c:title>
    <c:plotArea>
      <c:layout>
        <c:manualLayout>
          <c:layoutTarget val="inner"/>
          <c:xMode val="edge"/>
          <c:yMode val="edge"/>
          <c:x val="3.6764004267612158E-2"/>
          <c:y val="0.11987918385557166"/>
          <c:w val="0.84837516225504495"/>
          <c:h val="0.7163577629719361"/>
        </c:manualLayout>
      </c:layout>
      <c:scatterChart>
        <c:scatterStyle val="lineMarker"/>
        <c:ser>
          <c:idx val="0"/>
          <c:order val="0"/>
          <c:tx>
            <c:v>Products</c:v>
          </c:tx>
          <c:spPr>
            <a:ln w="66675">
              <a:noFill/>
            </a:ln>
          </c:spPr>
          <c:marker>
            <c:symbol val="circle"/>
            <c:size val="6"/>
          </c:marker>
          <c:trendline>
            <c:spPr>
              <a:ln w="22225">
                <a:solidFill>
                  <a:schemeClr val="accent3"/>
                </a:solidFill>
              </a:ln>
            </c:spPr>
            <c:trendlineType val="linear"/>
          </c:trendline>
          <c:xVal>
            <c:numRef>
              <c:f>Sheet1!$C$3:$E$3</c:f>
              <c:numCache>
                <c:formatCode>0.00</c:formatCode>
                <c:ptCount val="3"/>
                <c:pt idx="0">
                  <c:v>-25</c:v>
                </c:pt>
                <c:pt idx="1">
                  <c:v>0</c:v>
                </c:pt>
                <c:pt idx="2">
                  <c:v>25</c:v>
                </c:pt>
              </c:numCache>
            </c:numRef>
          </c:xVal>
          <c:yVal>
            <c:numRef>
              <c:f>Sheet1!$C$4:$E$4</c:f>
              <c:numCache>
                <c:formatCode>General</c:formatCode>
                <c:ptCount val="3"/>
                <c:pt idx="0">
                  <c:v>21.07</c:v>
                </c:pt>
                <c:pt idx="1">
                  <c:v>34.97</c:v>
                </c:pt>
                <c:pt idx="2">
                  <c:v>44.91</c:v>
                </c:pt>
              </c:numCache>
            </c:numRef>
          </c:yVal>
        </c:ser>
        <c:ser>
          <c:idx val="1"/>
          <c:order val="1"/>
          <c:tx>
            <c:v>Raw materials</c:v>
          </c:tx>
          <c:spPr>
            <a:ln w="25400">
              <a:solidFill>
                <a:srgbClr val="4F81BD"/>
              </a:solidFill>
            </a:ln>
          </c:spPr>
          <c:marker>
            <c:symbol val="circle"/>
            <c:size val="6"/>
            <c:spPr>
              <a:solidFill>
                <a:schemeClr val="accent1"/>
              </a:solidFill>
            </c:spPr>
          </c:marker>
          <c:xVal>
            <c:numRef>
              <c:f>Sheet1!$C$3:$E$3</c:f>
              <c:numCache>
                <c:formatCode>0.00</c:formatCode>
                <c:ptCount val="3"/>
                <c:pt idx="0">
                  <c:v>-25</c:v>
                </c:pt>
                <c:pt idx="1">
                  <c:v>0</c:v>
                </c:pt>
                <c:pt idx="2">
                  <c:v>25</c:v>
                </c:pt>
              </c:numCache>
            </c:numRef>
          </c:xVal>
          <c:yVal>
            <c:numRef>
              <c:f>Sheet1!$C$5:$E$5</c:f>
              <c:numCache>
                <c:formatCode>General</c:formatCode>
                <c:ptCount val="3"/>
                <c:pt idx="0">
                  <c:v>38.770000000000003</c:v>
                </c:pt>
                <c:pt idx="1">
                  <c:v>34.97</c:v>
                </c:pt>
                <c:pt idx="2">
                  <c:v>30.87</c:v>
                </c:pt>
              </c:numCache>
            </c:numRef>
          </c:yVal>
          <c:smooth val="1"/>
        </c:ser>
        <c:ser>
          <c:idx val="2"/>
          <c:order val="2"/>
          <c:tx>
            <c:v>Utilities</c:v>
          </c:tx>
          <c:spPr>
            <a:ln w="66675">
              <a:noFill/>
            </a:ln>
          </c:spPr>
          <c:marker>
            <c:symbol val="circle"/>
            <c:size val="6"/>
            <c:spPr>
              <a:solidFill>
                <a:schemeClr val="accent2"/>
              </a:solidFill>
            </c:spPr>
          </c:marker>
          <c:trendline>
            <c:spPr>
              <a:ln w="19050">
                <a:solidFill>
                  <a:schemeClr val="accent2"/>
                </a:solidFill>
              </a:ln>
            </c:spPr>
            <c:trendlineType val="linear"/>
          </c:trendline>
          <c:xVal>
            <c:numRef>
              <c:f>Sheet1!$C$3:$E$3</c:f>
              <c:numCache>
                <c:formatCode>0.00</c:formatCode>
                <c:ptCount val="3"/>
                <c:pt idx="0">
                  <c:v>-25</c:v>
                </c:pt>
                <c:pt idx="1">
                  <c:v>0</c:v>
                </c:pt>
                <c:pt idx="2">
                  <c:v>25</c:v>
                </c:pt>
              </c:numCache>
            </c:numRef>
          </c:xVal>
          <c:yVal>
            <c:numRef>
              <c:f>Sheet1!$C$6:$E$6</c:f>
              <c:numCache>
                <c:formatCode>General</c:formatCode>
                <c:ptCount val="3"/>
                <c:pt idx="0">
                  <c:v>36.909999999999997</c:v>
                </c:pt>
                <c:pt idx="1">
                  <c:v>34.97</c:v>
                </c:pt>
                <c:pt idx="2">
                  <c:v>33.770000000000003</c:v>
                </c:pt>
              </c:numCache>
            </c:numRef>
          </c:yVal>
        </c:ser>
        <c:ser>
          <c:idx val="3"/>
          <c:order val="3"/>
          <c:tx>
            <c:v>Capital Cost</c:v>
          </c:tx>
          <c:spPr>
            <a:ln>
              <a:noFill/>
            </a:ln>
          </c:spPr>
          <c:marker>
            <c:symbol val="circle"/>
            <c:size val="7"/>
            <c:spPr>
              <a:solidFill>
                <a:schemeClr val="accent4"/>
              </a:solidFill>
            </c:spPr>
          </c:marker>
          <c:trendline>
            <c:spPr>
              <a:ln w="19050">
                <a:solidFill>
                  <a:schemeClr val="accent4"/>
                </a:solidFill>
              </a:ln>
            </c:spPr>
            <c:trendlineType val="linear"/>
          </c:trendline>
          <c:xVal>
            <c:numRef>
              <c:f>Sheet1!$C$3:$E$3</c:f>
              <c:numCache>
                <c:formatCode>0.00</c:formatCode>
                <c:ptCount val="3"/>
                <c:pt idx="0">
                  <c:v>-25</c:v>
                </c:pt>
                <c:pt idx="1">
                  <c:v>0</c:v>
                </c:pt>
                <c:pt idx="2">
                  <c:v>25</c:v>
                </c:pt>
              </c:numCache>
            </c:numRef>
          </c:xVal>
          <c:yVal>
            <c:numRef>
              <c:f>Sheet1!$C$7:$E$7</c:f>
              <c:numCache>
                <c:formatCode>General</c:formatCode>
                <c:ptCount val="3"/>
                <c:pt idx="0">
                  <c:v>38.090000000000003</c:v>
                </c:pt>
                <c:pt idx="1">
                  <c:v>34.97</c:v>
                </c:pt>
                <c:pt idx="2">
                  <c:v>32.07</c:v>
                </c:pt>
              </c:numCache>
            </c:numRef>
          </c:yVal>
        </c:ser>
        <c:dLbls/>
        <c:axId val="80225408"/>
        <c:axId val="80226944"/>
      </c:scatterChart>
      <c:valAx>
        <c:axId val="80225408"/>
        <c:scaling>
          <c:orientation val="minMax"/>
        </c:scaling>
        <c:axPos val="b"/>
        <c:title>
          <c:tx>
            <c:rich>
              <a:bodyPr/>
              <a:lstStyle/>
              <a:p>
                <a:pPr>
                  <a:defRPr sz="1200"/>
                </a:pPr>
                <a:r>
                  <a:rPr lang="en-US" sz="1200"/>
                  <a:t>Percent Change (%)</a:t>
                </a:r>
              </a:p>
            </c:rich>
          </c:tx>
        </c:title>
        <c:numFmt formatCode="0.00" sourceLinked="1"/>
        <c:majorTickMark val="none"/>
        <c:tickLblPos val="nextTo"/>
        <c:txPr>
          <a:bodyPr rot="0" vert="horz"/>
          <a:lstStyle/>
          <a:p>
            <a:pPr>
              <a:defRPr b="1" i="0" baseline="0"/>
            </a:pPr>
            <a:endParaRPr lang="en-US"/>
          </a:p>
        </c:txPr>
        <c:crossAx val="80226944"/>
        <c:crosses val="autoZero"/>
        <c:crossBetween val="midCat"/>
      </c:valAx>
      <c:valAx>
        <c:axId val="80226944"/>
        <c:scaling>
          <c:orientation val="minMax"/>
          <c:min val="18"/>
        </c:scaling>
        <c:axPos val="l"/>
        <c:majorGridlines/>
        <c:title>
          <c:tx>
            <c:rich>
              <a:bodyPr/>
              <a:lstStyle/>
              <a:p>
                <a:pPr>
                  <a:defRPr sz="1200"/>
                </a:pPr>
                <a:r>
                  <a:rPr lang="en-US" sz="1200"/>
                  <a:t>IRR (%)</a:t>
                </a:r>
              </a:p>
            </c:rich>
          </c:tx>
        </c:title>
        <c:numFmt formatCode="General" sourceLinked="1"/>
        <c:majorTickMark val="none"/>
        <c:tickLblPos val="nextTo"/>
        <c:txPr>
          <a:bodyPr anchor="ctr" anchorCtr="0"/>
          <a:lstStyle/>
          <a:p>
            <a:pPr>
              <a:defRPr b="1"/>
            </a:pPr>
            <a:endParaRPr lang="en-US"/>
          </a:p>
        </c:txPr>
        <c:crossAx val="80225408"/>
        <c:crosses val="autoZero"/>
        <c:crossBetween val="midCat"/>
      </c:valAx>
      <c:spPr>
        <a:ln>
          <a:noFill/>
        </a:ln>
      </c:spPr>
    </c:plotArea>
    <c:legend>
      <c:legendPos val="r"/>
      <c:legendEntry>
        <c:idx val="4"/>
        <c:delete val="1"/>
      </c:legendEntry>
      <c:legendEntry>
        <c:idx val="5"/>
        <c:delete val="1"/>
      </c:legendEntry>
      <c:legendEntry>
        <c:idx val="6"/>
        <c:delete val="1"/>
      </c:legendEntry>
      <c:layout>
        <c:manualLayout>
          <c:xMode val="edge"/>
          <c:yMode val="edge"/>
          <c:x val="0.54117271202685313"/>
          <c:y val="0.56726441507286718"/>
          <c:w val="0.18849757673667208"/>
          <c:h val="0.20607308701796895"/>
        </c:manualLayout>
      </c:layout>
      <c:spPr>
        <a:solidFill>
          <a:sysClr val="window" lastClr="FFFFFF"/>
        </a:solidFill>
        <a:ln w="15875">
          <a:solidFill>
            <a:sysClr val="windowText" lastClr="000000"/>
          </a:solidFill>
        </a:ln>
      </c:spPr>
    </c:legend>
    <c:plotVisOnly val="1"/>
    <c:dispBlanksAs val="gap"/>
  </c:chart>
  <c:printSettings>
    <c:headerFooter/>
    <c:pageMargins b="0.75000000000000011" l="0.70000000000000007" r="0.70000000000000007" t="0.75000000000000011" header="0.30000000000000004" footer="0.30000000000000004"/>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228600</xdr:colOff>
      <xdr:row>0</xdr:row>
      <xdr:rowOff>161925</xdr:rowOff>
    </xdr:from>
    <xdr:to>
      <xdr:col>16</xdr:col>
      <xdr:colOff>28575</xdr:colOff>
      <xdr:row>24</xdr:row>
      <xdr:rowOff>28575</xdr:rowOff>
    </xdr:to>
    <xdr:graphicFrame macro="">
      <xdr:nvGraphicFramePr>
        <xdr:cNvPr id="102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0.75754</cdr:x>
      <cdr:y>0.63221</cdr:y>
    </cdr:from>
    <cdr:to>
      <cdr:x>0.78656</cdr:x>
      <cdr:y>0.65361</cdr:y>
    </cdr:to>
    <cdr:sp macro="" textlink="">
      <cdr:nvSpPr>
        <cdr:cNvPr id="2" name="Rectangle 1"/>
        <cdr:cNvSpPr/>
      </cdr:nvSpPr>
      <cdr:spPr>
        <a:xfrm xmlns:a="http://schemas.openxmlformats.org/drawingml/2006/main">
          <a:off x="4469686" y="2845406"/>
          <a:ext cx="171236" cy="96321"/>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0.54441</cdr:x>
      <cdr:y>0.62983</cdr:y>
    </cdr:from>
    <cdr:to>
      <cdr:x>0.55897</cdr:x>
      <cdr:y>0.65385</cdr:y>
    </cdr:to>
    <cdr:sp macro="" textlink="">
      <cdr:nvSpPr>
        <cdr:cNvPr id="4" name="Rectangle 3"/>
        <cdr:cNvSpPr/>
      </cdr:nvSpPr>
      <cdr:spPr>
        <a:xfrm xmlns:a="http://schemas.openxmlformats.org/drawingml/2006/main">
          <a:off x="3209841" y="2807606"/>
          <a:ext cx="85809" cy="107044"/>
        </a:xfrm>
        <a:prstGeom xmlns:a="http://schemas.openxmlformats.org/drawingml/2006/main" prst="rect">
          <a:avLst/>
        </a:prstGeom>
        <a:solidFill xmlns:a="http://schemas.openxmlformats.org/drawingml/2006/main">
          <a:schemeClr val="bg1"/>
        </a:solidFill>
        <a:ln xmlns:a="http://schemas.openxmlformats.org/drawingml/2006/main">
          <a:solidFill>
            <a:schemeClr val="bg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0.01723</cdr:x>
      <cdr:y>0.02616</cdr:y>
    </cdr:to>
    <cdr:sp macro="" textlink="">
      <cdr:nvSpPr>
        <cdr:cNvPr id="5" name="Rectangle 4"/>
        <cdr:cNvSpPr/>
      </cdr:nvSpPr>
      <cdr:spPr>
        <a:xfrm xmlns:a="http://schemas.openxmlformats.org/drawingml/2006/main">
          <a:off x="0" y="0"/>
          <a:ext cx="101671" cy="117726"/>
        </a:xfrm>
        <a:prstGeom xmlns:a="http://schemas.openxmlformats.org/drawingml/2006/main" prst="rect">
          <a:avLst/>
        </a:prstGeom>
        <a:solidFill xmlns:a="http://schemas.openxmlformats.org/drawingml/2006/main">
          <a:sysClr val="window" lastClr="FFFFFF"/>
        </a:solidFill>
        <a:ln xmlns:a="http://schemas.openxmlformats.org/drawingml/2006/main" w="25400" cap="flat" cmpd="sng" algn="ctr">
          <a:solidFill>
            <a:sysClr val="window" lastClr="FFFFFF"/>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ysClr val="window" lastClr="FFFFFF"/>
              </a:solidFill>
              <a:latin typeface="Calibri"/>
            </a:defRPr>
          </a:lvl1pPr>
          <a:lvl2pPr marL="457200" indent="0">
            <a:defRPr sz="1100">
              <a:solidFill>
                <a:sysClr val="window" lastClr="FFFFFF"/>
              </a:solidFill>
              <a:latin typeface="Calibri"/>
            </a:defRPr>
          </a:lvl2pPr>
          <a:lvl3pPr marL="914400" indent="0">
            <a:defRPr sz="1100">
              <a:solidFill>
                <a:sysClr val="window" lastClr="FFFFFF"/>
              </a:solidFill>
              <a:latin typeface="Calibri"/>
            </a:defRPr>
          </a:lvl3pPr>
          <a:lvl4pPr marL="1371600" indent="0">
            <a:defRPr sz="1100">
              <a:solidFill>
                <a:sysClr val="window" lastClr="FFFFFF"/>
              </a:solidFill>
              <a:latin typeface="Calibri"/>
            </a:defRPr>
          </a:lvl4pPr>
          <a:lvl5pPr marL="1828800" indent="0">
            <a:defRPr sz="1100">
              <a:solidFill>
                <a:sysClr val="window" lastClr="FFFFFF"/>
              </a:solidFill>
              <a:latin typeface="Calibri"/>
            </a:defRPr>
          </a:lvl5pPr>
          <a:lvl6pPr marL="2286000" indent="0">
            <a:defRPr sz="1100">
              <a:solidFill>
                <a:sysClr val="window" lastClr="FFFFFF"/>
              </a:solidFill>
              <a:latin typeface="Calibri"/>
            </a:defRPr>
          </a:lvl6pPr>
          <a:lvl7pPr marL="2743200" indent="0">
            <a:defRPr sz="1100">
              <a:solidFill>
                <a:sysClr val="window" lastClr="FFFFFF"/>
              </a:solidFill>
              <a:latin typeface="Calibri"/>
            </a:defRPr>
          </a:lvl7pPr>
          <a:lvl8pPr marL="3200400" indent="0">
            <a:defRPr sz="1100">
              <a:solidFill>
                <a:sysClr val="window" lastClr="FFFFFF"/>
              </a:solidFill>
              <a:latin typeface="Calibri"/>
            </a:defRPr>
          </a:lvl8pPr>
          <a:lvl9pPr marL="3657600" indent="0">
            <a:defRPr sz="1100">
              <a:solidFill>
                <a:sysClr val="window" lastClr="FFFFFF"/>
              </a:solidFill>
              <a:latin typeface="Calibri"/>
            </a:defRPr>
          </a:lvl9pPr>
        </a:lstStyle>
        <a:p xmlns:a="http://schemas.openxmlformats.org/drawingml/2006/main">
          <a:endParaRPr lang="en-US"/>
        </a:p>
      </cdr:txBody>
    </cdr:sp>
  </cdr:relSizeAnchor>
  <cdr:relSizeAnchor xmlns:cdr="http://schemas.openxmlformats.org/drawingml/2006/chartDrawing">
    <cdr:from>
      <cdr:x>0.5816</cdr:x>
      <cdr:y>0.62864</cdr:y>
    </cdr:from>
    <cdr:to>
      <cdr:x>0.59429</cdr:x>
      <cdr:y>0.65956</cdr:y>
    </cdr:to>
    <cdr:sp macro="" textlink="">
      <cdr:nvSpPr>
        <cdr:cNvPr id="6" name="Rectangle 5"/>
        <cdr:cNvSpPr/>
      </cdr:nvSpPr>
      <cdr:spPr>
        <a:xfrm xmlns:a="http://schemas.openxmlformats.org/drawingml/2006/main">
          <a:off x="3431569" y="2829353"/>
          <a:ext cx="74915" cy="139129"/>
        </a:xfrm>
        <a:prstGeom xmlns:a="http://schemas.openxmlformats.org/drawingml/2006/main" prst="rect">
          <a:avLst/>
        </a:prstGeom>
        <a:solidFill xmlns:a="http://schemas.openxmlformats.org/drawingml/2006/main">
          <a:schemeClr val="bg1"/>
        </a:solidFill>
        <a:ln xmlns:a="http://schemas.openxmlformats.org/drawingml/2006/main">
          <a:solidFill>
            <a:schemeClr val="bg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H77"/>
  <sheetViews>
    <sheetView topLeftCell="A76" workbookViewId="0">
      <selection activeCell="J4" sqref="J4"/>
    </sheetView>
  </sheetViews>
  <sheetFormatPr defaultRowHeight="15"/>
  <cols>
    <col min="1" max="1" width="24.85546875" customWidth="1"/>
    <col min="2" max="2" width="19.5703125" customWidth="1"/>
    <col min="3" max="3" width="35.5703125" customWidth="1"/>
    <col min="4" max="4" width="11.85546875" customWidth="1"/>
    <col min="5" max="5" width="11.28515625" customWidth="1"/>
    <col min="6" max="8" width="12.42578125" customWidth="1"/>
  </cols>
  <sheetData>
    <row r="1" spans="1:8" ht="36" thickBot="1">
      <c r="A1" s="28" t="s">
        <v>50</v>
      </c>
      <c r="B1" s="29" t="s">
        <v>51</v>
      </c>
      <c r="C1" s="29" t="s">
        <v>52</v>
      </c>
      <c r="D1" s="29" t="s">
        <v>53</v>
      </c>
      <c r="E1" s="29" t="s">
        <v>54</v>
      </c>
      <c r="F1" s="29" t="s">
        <v>55</v>
      </c>
      <c r="G1" s="29" t="s">
        <v>108</v>
      </c>
      <c r="H1" s="29" t="s">
        <v>1</v>
      </c>
    </row>
    <row r="2" spans="1:8" ht="15.75" thickBot="1">
      <c r="A2" s="30"/>
      <c r="B2" s="31"/>
      <c r="C2" s="31"/>
      <c r="D2" s="31" t="s">
        <v>56</v>
      </c>
      <c r="E2" s="31" t="s">
        <v>57</v>
      </c>
      <c r="F2" s="31"/>
      <c r="G2" s="31"/>
      <c r="H2" s="32"/>
    </row>
    <row r="3" spans="1:8" ht="45.75" thickBot="1">
      <c r="A3" s="30" t="s">
        <v>58</v>
      </c>
      <c r="B3" s="31" t="s">
        <v>59</v>
      </c>
      <c r="C3" s="31" t="s">
        <v>109</v>
      </c>
      <c r="D3" s="31" t="s">
        <v>56</v>
      </c>
      <c r="E3" s="31">
        <v>1500</v>
      </c>
      <c r="F3" s="31">
        <v>725</v>
      </c>
      <c r="G3" s="31">
        <v>197.1</v>
      </c>
      <c r="H3" s="32">
        <v>895500</v>
      </c>
    </row>
    <row r="4" spans="1:8" ht="34.5" thickBot="1">
      <c r="A4" s="30" t="s">
        <v>60</v>
      </c>
      <c r="B4" s="31" t="s">
        <v>59</v>
      </c>
      <c r="C4" s="31" t="s">
        <v>110</v>
      </c>
      <c r="D4" s="31" t="s">
        <v>56</v>
      </c>
      <c r="E4" s="31">
        <v>1500</v>
      </c>
      <c r="F4" s="31">
        <v>725</v>
      </c>
      <c r="G4" s="31">
        <v>197.1</v>
      </c>
      <c r="H4" s="32">
        <v>895500</v>
      </c>
    </row>
    <row r="5" spans="1:8" ht="45.75" thickBot="1">
      <c r="A5" s="30" t="s">
        <v>61</v>
      </c>
      <c r="B5" s="31" t="s">
        <v>62</v>
      </c>
      <c r="C5" s="31" t="s">
        <v>111</v>
      </c>
      <c r="D5" s="31" t="s">
        <v>63</v>
      </c>
      <c r="E5" s="31" t="s">
        <v>57</v>
      </c>
      <c r="F5" s="31">
        <v>725</v>
      </c>
      <c r="G5" s="31" t="s">
        <v>64</v>
      </c>
      <c r="H5" s="32">
        <v>25400</v>
      </c>
    </row>
    <row r="6" spans="1:8" ht="34.5" thickBot="1">
      <c r="A6" s="30" t="s">
        <v>65</v>
      </c>
      <c r="B6" s="31" t="s">
        <v>66</v>
      </c>
      <c r="C6" s="31" t="s">
        <v>112</v>
      </c>
      <c r="D6" s="31" t="s">
        <v>63</v>
      </c>
      <c r="E6" s="31" t="s">
        <v>57</v>
      </c>
      <c r="F6" s="31">
        <v>725</v>
      </c>
      <c r="G6" s="31">
        <v>458</v>
      </c>
      <c r="H6" s="32">
        <v>40700</v>
      </c>
    </row>
    <row r="7" spans="1:8" ht="34.5" thickBot="1">
      <c r="A7" s="30" t="s">
        <v>67</v>
      </c>
      <c r="B7" s="31" t="s">
        <v>68</v>
      </c>
      <c r="C7" s="31" t="s">
        <v>113</v>
      </c>
      <c r="D7" s="31" t="s">
        <v>56</v>
      </c>
      <c r="E7" s="31" t="s">
        <v>57</v>
      </c>
      <c r="F7" s="31">
        <v>725</v>
      </c>
      <c r="G7" s="31">
        <v>458</v>
      </c>
      <c r="H7" s="32">
        <v>22000000</v>
      </c>
    </row>
    <row r="8" spans="1:8" ht="34.5" thickBot="1">
      <c r="A8" s="30" t="s">
        <v>114</v>
      </c>
      <c r="B8" s="31" t="s">
        <v>74</v>
      </c>
      <c r="C8" s="31" t="s">
        <v>115</v>
      </c>
      <c r="D8" s="31"/>
      <c r="E8" s="31" t="s">
        <v>57</v>
      </c>
      <c r="F8" s="31">
        <v>725</v>
      </c>
      <c r="G8" s="31">
        <v>458</v>
      </c>
      <c r="H8" s="32">
        <v>829700</v>
      </c>
    </row>
    <row r="9" spans="1:8" ht="57" thickBot="1">
      <c r="A9" s="30" t="s">
        <v>69</v>
      </c>
      <c r="B9" s="31" t="s">
        <v>70</v>
      </c>
      <c r="C9" s="31" t="s">
        <v>116</v>
      </c>
      <c r="D9" s="31" t="s">
        <v>71</v>
      </c>
      <c r="E9" s="31" t="s">
        <v>57</v>
      </c>
      <c r="F9" s="31">
        <v>725</v>
      </c>
      <c r="G9" s="31">
        <v>100</v>
      </c>
      <c r="H9" s="32">
        <v>1321600</v>
      </c>
    </row>
    <row r="10" spans="1:8" ht="57" thickBot="1">
      <c r="A10" s="30" t="s">
        <v>72</v>
      </c>
      <c r="B10" s="31" t="s">
        <v>73</v>
      </c>
      <c r="C10" s="31" t="s">
        <v>117</v>
      </c>
      <c r="D10" s="31" t="s">
        <v>56</v>
      </c>
      <c r="E10" s="31" t="s">
        <v>57</v>
      </c>
      <c r="F10" s="31">
        <v>725</v>
      </c>
      <c r="G10" s="31">
        <v>100</v>
      </c>
      <c r="H10" s="32">
        <v>267700</v>
      </c>
    </row>
    <row r="11" spans="1:8" ht="15.75" thickBot="1">
      <c r="A11" s="30"/>
      <c r="B11" s="31"/>
      <c r="C11" s="31"/>
      <c r="D11" s="31"/>
      <c r="E11" s="31"/>
      <c r="F11" s="31"/>
      <c r="G11" s="31"/>
      <c r="H11" s="32"/>
    </row>
    <row r="12" spans="1:8" ht="46.5" thickBot="1">
      <c r="A12" s="33" t="s">
        <v>118</v>
      </c>
      <c r="B12" s="34" t="s">
        <v>75</v>
      </c>
      <c r="C12" s="34" t="s">
        <v>119</v>
      </c>
      <c r="D12" s="34" t="s">
        <v>56</v>
      </c>
      <c r="E12" s="34" t="s">
        <v>57</v>
      </c>
      <c r="F12" s="34">
        <v>8.6999999999999993</v>
      </c>
      <c r="G12" s="34">
        <v>97.7</v>
      </c>
      <c r="H12" s="32">
        <v>8000</v>
      </c>
    </row>
    <row r="13" spans="1:8" ht="35.25" thickBot="1">
      <c r="A13" s="33" t="s">
        <v>120</v>
      </c>
      <c r="B13" s="34" t="s">
        <v>121</v>
      </c>
      <c r="C13" s="34" t="s">
        <v>122</v>
      </c>
      <c r="D13" s="34" t="s">
        <v>56</v>
      </c>
      <c r="E13" s="34" t="s">
        <v>57</v>
      </c>
      <c r="F13" s="34">
        <v>8.6999999999999993</v>
      </c>
      <c r="G13" s="34">
        <v>120</v>
      </c>
      <c r="H13" s="32">
        <v>11800</v>
      </c>
    </row>
    <row r="14" spans="1:8" ht="46.5" thickBot="1">
      <c r="A14" s="33" t="s">
        <v>76</v>
      </c>
      <c r="B14" s="34" t="s">
        <v>77</v>
      </c>
      <c r="C14" s="34" t="s">
        <v>123</v>
      </c>
      <c r="D14" s="34" t="s">
        <v>56</v>
      </c>
      <c r="E14" s="34" t="s">
        <v>57</v>
      </c>
      <c r="F14" s="34">
        <v>8.6999999999999993</v>
      </c>
      <c r="G14" s="34">
        <v>120</v>
      </c>
      <c r="H14" s="32">
        <v>32100</v>
      </c>
    </row>
    <row r="15" spans="1:8" ht="35.25" thickBot="1">
      <c r="A15" s="33" t="s">
        <v>124</v>
      </c>
      <c r="B15" s="34" t="s">
        <v>125</v>
      </c>
      <c r="C15" s="34" t="s">
        <v>126</v>
      </c>
      <c r="D15" s="34" t="s">
        <v>56</v>
      </c>
      <c r="E15" s="34" t="s">
        <v>57</v>
      </c>
      <c r="F15" s="34">
        <v>8.6999999999999993</v>
      </c>
      <c r="G15" s="34">
        <v>120</v>
      </c>
      <c r="H15" s="32">
        <v>10600</v>
      </c>
    </row>
    <row r="16" spans="1:8" ht="46.5" thickBot="1">
      <c r="A16" s="33" t="s">
        <v>127</v>
      </c>
      <c r="B16" s="34" t="s">
        <v>128</v>
      </c>
      <c r="C16" s="34" t="s">
        <v>129</v>
      </c>
      <c r="D16" s="34" t="s">
        <v>56</v>
      </c>
      <c r="E16" s="34">
        <v>2.1</v>
      </c>
      <c r="F16" s="34">
        <v>14.7</v>
      </c>
      <c r="G16" s="34">
        <v>128</v>
      </c>
      <c r="H16" s="32">
        <v>6100</v>
      </c>
    </row>
    <row r="17" spans="1:8" ht="57.75" thickBot="1">
      <c r="A17" s="33" t="s">
        <v>78</v>
      </c>
      <c r="B17" s="34" t="s">
        <v>79</v>
      </c>
      <c r="C17" s="34" t="s">
        <v>130</v>
      </c>
      <c r="D17" s="34" t="s">
        <v>56</v>
      </c>
      <c r="E17" s="34" t="s">
        <v>57</v>
      </c>
      <c r="F17" s="34">
        <v>14.7</v>
      </c>
      <c r="G17" s="34">
        <v>151</v>
      </c>
      <c r="H17" s="32">
        <v>383000</v>
      </c>
    </row>
    <row r="18" spans="1:8" ht="24" thickBot="1">
      <c r="A18" s="35" t="s">
        <v>131</v>
      </c>
      <c r="B18" s="36" t="s">
        <v>132</v>
      </c>
      <c r="C18" s="36" t="s">
        <v>133</v>
      </c>
      <c r="D18" s="36" t="s">
        <v>56</v>
      </c>
      <c r="E18" s="36" t="s">
        <v>57</v>
      </c>
      <c r="F18" s="36">
        <v>14.7</v>
      </c>
      <c r="G18" s="36">
        <v>151</v>
      </c>
      <c r="H18" s="37">
        <v>162900</v>
      </c>
    </row>
    <row r="19" spans="1:8" ht="35.25" thickBot="1">
      <c r="A19" s="35" t="s">
        <v>78</v>
      </c>
      <c r="B19" s="36" t="s">
        <v>134</v>
      </c>
      <c r="C19" s="36" t="s">
        <v>135</v>
      </c>
      <c r="D19" s="36" t="s">
        <v>56</v>
      </c>
      <c r="E19" s="36" t="s">
        <v>136</v>
      </c>
      <c r="F19" s="36">
        <v>14.7</v>
      </c>
      <c r="G19" s="36">
        <v>212</v>
      </c>
      <c r="H19" s="37">
        <v>111600</v>
      </c>
    </row>
    <row r="20" spans="1:8" ht="35.25" thickBot="1">
      <c r="A20" s="35" t="s">
        <v>78</v>
      </c>
      <c r="B20" s="36" t="s">
        <v>137</v>
      </c>
      <c r="C20" s="36" t="s">
        <v>138</v>
      </c>
      <c r="D20" s="36" t="s">
        <v>56</v>
      </c>
      <c r="E20" s="36">
        <v>6.8</v>
      </c>
      <c r="F20" s="36">
        <v>14.7</v>
      </c>
      <c r="G20" s="36">
        <v>151</v>
      </c>
      <c r="H20" s="37">
        <v>10500</v>
      </c>
    </row>
    <row r="21" spans="1:8" ht="15.75" thickBot="1">
      <c r="A21" s="35" t="s">
        <v>78</v>
      </c>
      <c r="B21" s="36" t="s">
        <v>139</v>
      </c>
      <c r="C21" s="36" t="s">
        <v>140</v>
      </c>
      <c r="D21" s="36" t="s">
        <v>56</v>
      </c>
      <c r="E21" s="36" t="s">
        <v>57</v>
      </c>
      <c r="F21" s="36">
        <v>14.7</v>
      </c>
      <c r="G21" s="36">
        <v>151</v>
      </c>
      <c r="H21" s="37">
        <v>10500</v>
      </c>
    </row>
    <row r="22" spans="1:8" ht="35.25" thickBot="1">
      <c r="A22" s="35" t="s">
        <v>141</v>
      </c>
      <c r="B22" s="36" t="s">
        <v>142</v>
      </c>
      <c r="C22" s="36" t="s">
        <v>143</v>
      </c>
      <c r="D22" s="36" t="s">
        <v>56</v>
      </c>
      <c r="E22" s="36">
        <v>71</v>
      </c>
      <c r="F22" s="36">
        <v>14.7</v>
      </c>
      <c r="G22" s="36">
        <v>152</v>
      </c>
      <c r="H22" s="37">
        <v>54200</v>
      </c>
    </row>
    <row r="23" spans="1:8" ht="35.25" thickBot="1">
      <c r="A23" s="35" t="s">
        <v>144</v>
      </c>
      <c r="B23" s="36" t="s">
        <v>145</v>
      </c>
      <c r="C23" s="36" t="s">
        <v>146</v>
      </c>
      <c r="D23" s="36" t="s">
        <v>56</v>
      </c>
      <c r="E23" s="36">
        <v>1</v>
      </c>
      <c r="F23" s="36">
        <v>14.7</v>
      </c>
      <c r="G23" s="36">
        <v>151</v>
      </c>
      <c r="H23" s="37">
        <v>4200</v>
      </c>
    </row>
    <row r="24" spans="1:8" ht="35.25" thickBot="1">
      <c r="A24" s="35" t="s">
        <v>147</v>
      </c>
      <c r="B24" s="36" t="s">
        <v>148</v>
      </c>
      <c r="C24" s="36" t="s">
        <v>149</v>
      </c>
      <c r="D24" s="36" t="s">
        <v>56</v>
      </c>
      <c r="E24" s="36" t="s">
        <v>57</v>
      </c>
      <c r="F24" s="36">
        <v>304</v>
      </c>
      <c r="G24" s="36">
        <v>350</v>
      </c>
      <c r="H24" s="37">
        <v>164000</v>
      </c>
    </row>
    <row r="25" spans="1:8" ht="15.75" thickBot="1">
      <c r="A25" s="35"/>
      <c r="B25" s="36"/>
      <c r="C25" s="36"/>
      <c r="D25" s="36"/>
      <c r="E25" s="36"/>
      <c r="F25" s="36"/>
      <c r="G25" s="36"/>
      <c r="H25" s="37"/>
    </row>
    <row r="26" spans="1:8" ht="15.75" thickBot="1">
      <c r="A26" s="38" t="s">
        <v>150</v>
      </c>
      <c r="B26" s="36"/>
      <c r="C26" s="36"/>
      <c r="D26" s="36"/>
      <c r="E26" s="36"/>
      <c r="F26" s="36"/>
      <c r="G26" s="36"/>
      <c r="H26" s="39">
        <f>SUM(H3:H24)</f>
        <v>27245600</v>
      </c>
    </row>
    <row r="27" spans="1:8" ht="15.75" thickBot="1">
      <c r="A27" s="38" t="s">
        <v>151</v>
      </c>
      <c r="B27" s="36"/>
      <c r="C27" s="36"/>
      <c r="D27" s="36"/>
      <c r="E27" s="36"/>
      <c r="F27" s="36"/>
      <c r="G27" s="36"/>
      <c r="H27" s="37"/>
    </row>
    <row r="28" spans="1:8" ht="15.75" thickBot="1">
      <c r="A28" s="35"/>
      <c r="B28" s="36"/>
      <c r="C28" s="36"/>
      <c r="D28" s="36"/>
      <c r="E28" s="36"/>
      <c r="F28" s="36"/>
      <c r="G28" s="36"/>
      <c r="H28" s="37"/>
    </row>
    <row r="29" spans="1:8" ht="15.75" thickBot="1">
      <c r="A29" s="35"/>
      <c r="B29" s="36"/>
      <c r="C29" s="36"/>
      <c r="D29" s="36"/>
      <c r="E29" s="36"/>
      <c r="F29" s="36"/>
      <c r="G29" s="36"/>
      <c r="H29" s="37"/>
    </row>
    <row r="30" spans="1:8" ht="15.75" thickBot="1">
      <c r="A30" s="35"/>
      <c r="B30" s="36"/>
      <c r="C30" s="36"/>
      <c r="D30" s="36"/>
      <c r="E30" s="36"/>
      <c r="F30" s="36"/>
      <c r="G30" s="36"/>
      <c r="H30" s="37"/>
    </row>
    <row r="31" spans="1:8" ht="35.25" thickBot="1">
      <c r="A31" s="35" t="s">
        <v>80</v>
      </c>
      <c r="B31" s="36" t="s">
        <v>81</v>
      </c>
      <c r="C31" s="36" t="s">
        <v>152</v>
      </c>
      <c r="D31" s="36" t="s">
        <v>82</v>
      </c>
      <c r="E31" s="36" t="s">
        <v>57</v>
      </c>
      <c r="F31" s="36">
        <v>304</v>
      </c>
      <c r="G31" s="36">
        <v>350</v>
      </c>
      <c r="H31" s="37">
        <v>28500000</v>
      </c>
    </row>
    <row r="32" spans="1:8" ht="24" thickBot="1">
      <c r="A32" s="35" t="s">
        <v>83</v>
      </c>
      <c r="B32" s="36" t="s">
        <v>84</v>
      </c>
      <c r="C32" s="36" t="s">
        <v>85</v>
      </c>
      <c r="D32" s="36" t="s">
        <v>82</v>
      </c>
      <c r="E32" s="36" t="s">
        <v>57</v>
      </c>
      <c r="F32" s="36">
        <v>50</v>
      </c>
      <c r="G32" s="36">
        <v>220</v>
      </c>
      <c r="H32" s="37">
        <v>12350</v>
      </c>
    </row>
    <row r="33" spans="1:8" ht="24" thickBot="1">
      <c r="A33" s="35" t="s">
        <v>153</v>
      </c>
      <c r="B33" s="36" t="s">
        <v>86</v>
      </c>
      <c r="C33" s="36" t="s">
        <v>154</v>
      </c>
      <c r="D33" s="36" t="s">
        <v>82</v>
      </c>
      <c r="E33" s="36" t="s">
        <v>57</v>
      </c>
      <c r="F33" s="36">
        <v>50</v>
      </c>
      <c r="G33" s="36">
        <v>220</v>
      </c>
      <c r="H33" s="37">
        <v>36660</v>
      </c>
    </row>
    <row r="34" spans="1:8" ht="35.25" thickBot="1">
      <c r="A34" s="35" t="s">
        <v>155</v>
      </c>
      <c r="B34" s="36" t="s">
        <v>156</v>
      </c>
      <c r="C34" s="36" t="s">
        <v>157</v>
      </c>
      <c r="D34" s="36" t="s">
        <v>82</v>
      </c>
      <c r="E34" s="36" t="s">
        <v>57</v>
      </c>
      <c r="F34" s="36">
        <v>50</v>
      </c>
      <c r="G34" s="36">
        <v>350</v>
      </c>
      <c r="H34" s="37">
        <v>15000</v>
      </c>
    </row>
    <row r="35" spans="1:8" ht="35.25" thickBot="1">
      <c r="A35" s="35" t="s">
        <v>158</v>
      </c>
      <c r="B35" s="36" t="s">
        <v>159</v>
      </c>
      <c r="C35" s="36" t="s">
        <v>160</v>
      </c>
      <c r="D35" s="36" t="s">
        <v>82</v>
      </c>
      <c r="E35" s="36" t="s">
        <v>57</v>
      </c>
      <c r="F35" s="36">
        <v>65</v>
      </c>
      <c r="G35" s="36">
        <v>312</v>
      </c>
      <c r="H35" s="37">
        <v>25000</v>
      </c>
    </row>
    <row r="36" spans="1:8" ht="35.25" thickBot="1">
      <c r="A36" s="35" t="s">
        <v>161</v>
      </c>
      <c r="B36" s="36" t="s">
        <v>162</v>
      </c>
      <c r="C36" s="36" t="s">
        <v>163</v>
      </c>
      <c r="D36" s="36" t="s">
        <v>82</v>
      </c>
      <c r="E36" s="36" t="s">
        <v>57</v>
      </c>
      <c r="F36" s="36">
        <v>65</v>
      </c>
      <c r="G36" s="36">
        <v>220</v>
      </c>
      <c r="H36" s="37">
        <v>37600</v>
      </c>
    </row>
    <row r="37" spans="1:8" ht="35.25" thickBot="1">
      <c r="A37" s="35" t="s">
        <v>164</v>
      </c>
      <c r="B37" s="36" t="s">
        <v>165</v>
      </c>
      <c r="C37" s="36" t="s">
        <v>166</v>
      </c>
      <c r="D37" s="36" t="s">
        <v>82</v>
      </c>
      <c r="E37" s="36">
        <v>29</v>
      </c>
      <c r="F37" s="36">
        <v>304</v>
      </c>
      <c r="G37" s="36">
        <v>326</v>
      </c>
      <c r="H37" s="37">
        <v>18500</v>
      </c>
    </row>
    <row r="38" spans="1:8" ht="24" thickBot="1">
      <c r="A38" s="35" t="s">
        <v>167</v>
      </c>
      <c r="B38" s="36" t="s">
        <v>168</v>
      </c>
      <c r="C38" s="36"/>
      <c r="D38" s="36" t="s">
        <v>82</v>
      </c>
      <c r="E38" s="36" t="s">
        <v>57</v>
      </c>
      <c r="F38" s="36">
        <v>50</v>
      </c>
      <c r="G38" s="36">
        <v>200</v>
      </c>
      <c r="H38" s="37">
        <v>3613500</v>
      </c>
    </row>
    <row r="39" spans="1:8" ht="35.25" thickBot="1">
      <c r="A39" s="35" t="s">
        <v>167</v>
      </c>
      <c r="B39" s="36" t="s">
        <v>169</v>
      </c>
      <c r="C39" s="36" t="s">
        <v>170</v>
      </c>
      <c r="D39" s="36" t="s">
        <v>82</v>
      </c>
      <c r="E39" s="36">
        <v>5</v>
      </c>
      <c r="F39" s="36">
        <v>50</v>
      </c>
      <c r="G39" s="36">
        <v>200</v>
      </c>
      <c r="H39" s="37">
        <v>21800</v>
      </c>
    </row>
    <row r="40" spans="1:8" ht="35.25" thickBot="1">
      <c r="A40" s="35" t="s">
        <v>167</v>
      </c>
      <c r="B40" s="36" t="s">
        <v>171</v>
      </c>
      <c r="C40" s="36" t="s">
        <v>172</v>
      </c>
      <c r="D40" s="36" t="s">
        <v>82</v>
      </c>
      <c r="E40" s="36" t="s">
        <v>57</v>
      </c>
      <c r="F40" s="36">
        <v>50</v>
      </c>
      <c r="G40" s="36">
        <v>335</v>
      </c>
      <c r="H40" s="37">
        <v>2252300</v>
      </c>
    </row>
    <row r="41" spans="1:8" ht="35.25" thickBot="1">
      <c r="A41" s="35" t="s">
        <v>167</v>
      </c>
      <c r="B41" s="36" t="s">
        <v>173</v>
      </c>
      <c r="C41" s="36" t="s">
        <v>174</v>
      </c>
      <c r="D41" s="36" t="s">
        <v>82</v>
      </c>
      <c r="E41" s="36" t="s">
        <v>57</v>
      </c>
      <c r="F41" s="36">
        <v>-93</v>
      </c>
      <c r="G41" s="36">
        <v>50</v>
      </c>
      <c r="H41" s="37">
        <v>446100</v>
      </c>
    </row>
    <row r="42" spans="1:8" ht="24" thickBot="1">
      <c r="A42" s="35" t="s">
        <v>167</v>
      </c>
      <c r="B42" s="36" t="s">
        <v>175</v>
      </c>
      <c r="C42" s="36" t="s">
        <v>176</v>
      </c>
      <c r="D42" s="36" t="s">
        <v>82</v>
      </c>
      <c r="E42" s="36" t="s">
        <v>57</v>
      </c>
      <c r="F42" s="36">
        <v>50</v>
      </c>
      <c r="G42" s="36">
        <v>200</v>
      </c>
      <c r="H42" s="37">
        <v>17000</v>
      </c>
    </row>
    <row r="43" spans="1:8" ht="46.5" thickBot="1">
      <c r="A43" s="35" t="s">
        <v>177</v>
      </c>
      <c r="B43" s="36" t="s">
        <v>178</v>
      </c>
      <c r="C43" s="36" t="s">
        <v>179</v>
      </c>
      <c r="D43" s="36" t="s">
        <v>82</v>
      </c>
      <c r="E43" s="36" t="s">
        <v>180</v>
      </c>
      <c r="F43" s="36">
        <v>18</v>
      </c>
      <c r="G43" s="36">
        <v>330</v>
      </c>
      <c r="H43" s="37">
        <v>7800</v>
      </c>
    </row>
    <row r="44" spans="1:8" ht="35.25" thickBot="1">
      <c r="A44" s="35" t="s">
        <v>181</v>
      </c>
      <c r="B44" s="36" t="s">
        <v>182</v>
      </c>
      <c r="C44" s="36" t="s">
        <v>183</v>
      </c>
      <c r="D44" s="36" t="s">
        <v>82</v>
      </c>
      <c r="E44" s="36" t="s">
        <v>136</v>
      </c>
      <c r="F44" s="36">
        <v>50</v>
      </c>
      <c r="G44" s="36">
        <v>245</v>
      </c>
      <c r="H44" s="37">
        <v>25300</v>
      </c>
    </row>
    <row r="45" spans="1:8" ht="35.25" thickBot="1">
      <c r="A45" s="35" t="s">
        <v>184</v>
      </c>
      <c r="B45" s="36" t="s">
        <v>185</v>
      </c>
      <c r="C45" s="36" t="s">
        <v>186</v>
      </c>
      <c r="D45" s="36" t="s">
        <v>82</v>
      </c>
      <c r="E45" s="36">
        <v>1597</v>
      </c>
      <c r="F45" s="36">
        <v>304</v>
      </c>
      <c r="G45" s="36">
        <v>514</v>
      </c>
      <c r="H45" s="37">
        <v>1166000</v>
      </c>
    </row>
    <row r="46" spans="1:8" ht="57.75" thickBot="1">
      <c r="A46" s="35" t="s">
        <v>187</v>
      </c>
      <c r="B46" s="36" t="s">
        <v>188</v>
      </c>
      <c r="C46" s="36" t="s">
        <v>189</v>
      </c>
      <c r="D46" s="36" t="s">
        <v>82</v>
      </c>
      <c r="E46" s="36" t="s">
        <v>57</v>
      </c>
      <c r="F46" s="36">
        <v>18</v>
      </c>
      <c r="G46" s="36">
        <v>244</v>
      </c>
      <c r="H46" s="37">
        <v>2125100</v>
      </c>
    </row>
    <row r="47" spans="1:8" ht="35.25" thickBot="1">
      <c r="A47" s="35" t="s">
        <v>187</v>
      </c>
      <c r="B47" s="36" t="s">
        <v>169</v>
      </c>
      <c r="C47" s="36" t="s">
        <v>190</v>
      </c>
      <c r="D47" s="36" t="s">
        <v>82</v>
      </c>
      <c r="E47" s="36">
        <v>5</v>
      </c>
      <c r="F47" s="36">
        <v>18</v>
      </c>
      <c r="G47" s="36">
        <v>244</v>
      </c>
      <c r="H47" s="37">
        <v>41300</v>
      </c>
    </row>
    <row r="48" spans="1:8" ht="35.25" thickBot="1">
      <c r="A48" s="35" t="s">
        <v>187</v>
      </c>
      <c r="B48" s="36" t="s">
        <v>191</v>
      </c>
      <c r="C48" s="36" t="s">
        <v>192</v>
      </c>
      <c r="D48" s="36" t="s">
        <v>82</v>
      </c>
      <c r="E48" s="36" t="s">
        <v>57</v>
      </c>
      <c r="F48" s="36">
        <v>18</v>
      </c>
      <c r="G48" s="36">
        <v>259</v>
      </c>
      <c r="H48" s="37">
        <v>514600</v>
      </c>
    </row>
    <row r="49" spans="1:8" ht="35.25" thickBot="1">
      <c r="A49" s="35" t="s">
        <v>187</v>
      </c>
      <c r="B49" s="36" t="s">
        <v>173</v>
      </c>
      <c r="C49" s="36" t="s">
        <v>193</v>
      </c>
      <c r="D49" s="36" t="s">
        <v>82</v>
      </c>
      <c r="E49" s="36" t="s">
        <v>57</v>
      </c>
      <c r="F49" s="36">
        <v>18</v>
      </c>
      <c r="G49" s="36">
        <v>244</v>
      </c>
      <c r="H49" s="37">
        <v>155900</v>
      </c>
    </row>
    <row r="50" spans="1:8" ht="24" thickBot="1">
      <c r="A50" s="35" t="s">
        <v>187</v>
      </c>
      <c r="B50" s="36" t="s">
        <v>194</v>
      </c>
      <c r="C50" s="36" t="s">
        <v>195</v>
      </c>
      <c r="D50" s="36" t="s">
        <v>82</v>
      </c>
      <c r="E50" s="36" t="s">
        <v>57</v>
      </c>
      <c r="F50" s="36">
        <v>18</v>
      </c>
      <c r="G50" s="36">
        <v>244</v>
      </c>
      <c r="H50" s="40">
        <v>21000</v>
      </c>
    </row>
    <row r="51" spans="1:8" ht="24" thickBot="1">
      <c r="A51" s="35" t="s">
        <v>196</v>
      </c>
      <c r="B51" s="36" t="s">
        <v>197</v>
      </c>
      <c r="C51" s="36" t="s">
        <v>198</v>
      </c>
      <c r="D51" s="36" t="s">
        <v>82</v>
      </c>
      <c r="E51" s="36">
        <v>1.7</v>
      </c>
      <c r="F51" s="36">
        <v>17.600000000000001</v>
      </c>
      <c r="G51" s="36">
        <v>259</v>
      </c>
      <c r="H51" s="37">
        <v>4200</v>
      </c>
    </row>
    <row r="52" spans="1:8" ht="35.25" thickBot="1">
      <c r="A52" s="35" t="s">
        <v>199</v>
      </c>
      <c r="B52" s="36" t="s">
        <v>200</v>
      </c>
      <c r="C52" s="36" t="s">
        <v>201</v>
      </c>
      <c r="D52" s="36" t="s">
        <v>82</v>
      </c>
      <c r="E52" s="36" t="s">
        <v>57</v>
      </c>
      <c r="F52" s="36">
        <v>14.7</v>
      </c>
      <c r="G52" s="36">
        <v>70</v>
      </c>
      <c r="H52" s="37">
        <v>21600</v>
      </c>
    </row>
    <row r="53" spans="1:8" ht="57.75" thickBot="1">
      <c r="A53" s="35" t="s">
        <v>202</v>
      </c>
      <c r="B53" s="36" t="s">
        <v>203</v>
      </c>
      <c r="C53" s="36" t="s">
        <v>204</v>
      </c>
      <c r="D53" s="36" t="s">
        <v>82</v>
      </c>
      <c r="E53" s="36" t="s">
        <v>57</v>
      </c>
      <c r="F53" s="36">
        <v>17.600000000000001</v>
      </c>
      <c r="G53" s="36">
        <v>245</v>
      </c>
      <c r="H53" s="37">
        <v>667900</v>
      </c>
    </row>
    <row r="54" spans="1:8" ht="35.25" thickBot="1">
      <c r="A54" s="35" t="s">
        <v>202</v>
      </c>
      <c r="B54" s="36" t="s">
        <v>205</v>
      </c>
      <c r="C54" s="36" t="s">
        <v>206</v>
      </c>
      <c r="D54" s="36" t="s">
        <v>82</v>
      </c>
      <c r="E54" s="36">
        <v>5</v>
      </c>
      <c r="F54" s="36">
        <v>17.600000000000001</v>
      </c>
      <c r="G54" s="36">
        <v>245</v>
      </c>
      <c r="H54" s="37">
        <v>4200</v>
      </c>
    </row>
    <row r="55" spans="1:8" ht="35.25" thickBot="1">
      <c r="A55" s="35" t="s">
        <v>202</v>
      </c>
      <c r="B55" s="36" t="s">
        <v>191</v>
      </c>
      <c r="C55" s="36" t="s">
        <v>207</v>
      </c>
      <c r="D55" s="36" t="s">
        <v>82</v>
      </c>
      <c r="E55" s="36" t="s">
        <v>57</v>
      </c>
      <c r="F55" s="36">
        <v>17.600000000000001</v>
      </c>
      <c r="G55" s="36">
        <v>300</v>
      </c>
      <c r="H55" s="37">
        <v>14900</v>
      </c>
    </row>
    <row r="56" spans="1:8" ht="35.25" thickBot="1">
      <c r="A56" s="35" t="s">
        <v>202</v>
      </c>
      <c r="B56" s="36" t="s">
        <v>173</v>
      </c>
      <c r="C56" s="36" t="s">
        <v>208</v>
      </c>
      <c r="D56" s="36" t="s">
        <v>82</v>
      </c>
      <c r="E56" s="36" t="s">
        <v>57</v>
      </c>
      <c r="F56" s="36">
        <v>17.600000000000001</v>
      </c>
      <c r="G56" s="36">
        <v>245</v>
      </c>
      <c r="H56" s="37">
        <v>8000</v>
      </c>
    </row>
    <row r="57" spans="1:8" ht="24" thickBot="1">
      <c r="A57" s="35" t="s">
        <v>202</v>
      </c>
      <c r="B57" s="36" t="s">
        <v>209</v>
      </c>
      <c r="C57" s="36" t="s">
        <v>210</v>
      </c>
      <c r="D57" s="36" t="s">
        <v>82</v>
      </c>
      <c r="E57" s="36" t="s">
        <v>136</v>
      </c>
      <c r="F57" s="36">
        <v>17.600000000000001</v>
      </c>
      <c r="G57" s="36">
        <v>245</v>
      </c>
      <c r="H57" s="37">
        <v>15000</v>
      </c>
    </row>
    <row r="58" spans="1:8" ht="35.25" thickBot="1">
      <c r="A58" s="35" t="s">
        <v>211</v>
      </c>
      <c r="B58" s="36" t="s">
        <v>212</v>
      </c>
      <c r="C58" s="36" t="s">
        <v>213</v>
      </c>
      <c r="D58" s="36" t="s">
        <v>82</v>
      </c>
      <c r="E58" s="36" t="s">
        <v>57</v>
      </c>
      <c r="F58" s="36">
        <v>14.7</v>
      </c>
      <c r="G58" s="36">
        <v>70</v>
      </c>
      <c r="H58" s="37">
        <v>8100</v>
      </c>
    </row>
    <row r="59" spans="1:8" ht="24" thickBot="1">
      <c r="A59" s="35" t="s">
        <v>211</v>
      </c>
      <c r="B59" s="36" t="s">
        <v>214</v>
      </c>
      <c r="C59" s="36" t="s">
        <v>215</v>
      </c>
      <c r="D59" s="36" t="s">
        <v>82</v>
      </c>
      <c r="E59" s="36" t="s">
        <v>57</v>
      </c>
      <c r="F59" s="36">
        <v>14.7</v>
      </c>
      <c r="G59" s="36">
        <v>70</v>
      </c>
      <c r="H59" s="37">
        <v>8100</v>
      </c>
    </row>
    <row r="60" spans="1:8" ht="15.75" thickBot="1">
      <c r="A60" s="35" t="s">
        <v>87</v>
      </c>
      <c r="B60" s="36"/>
      <c r="C60" s="36"/>
      <c r="D60" s="36"/>
      <c r="E60" s="36"/>
      <c r="F60" s="36"/>
      <c r="G60" s="36"/>
      <c r="H60" s="37">
        <f>SUM(H31:H59)</f>
        <v>39804810</v>
      </c>
    </row>
    <row r="61" spans="1:8" ht="15.75" thickBot="1">
      <c r="A61" s="35"/>
      <c r="B61" s="36"/>
      <c r="C61" s="36"/>
      <c r="D61" s="36"/>
      <c r="E61" s="36"/>
      <c r="F61" s="36"/>
      <c r="G61" s="36"/>
      <c r="H61" s="37"/>
    </row>
    <row r="62" spans="1:8" ht="46.5" thickBot="1">
      <c r="A62" s="35" t="s">
        <v>216</v>
      </c>
      <c r="B62" s="36" t="s">
        <v>217</v>
      </c>
      <c r="C62" s="36" t="s">
        <v>218</v>
      </c>
      <c r="D62" s="36" t="s">
        <v>219</v>
      </c>
      <c r="E62" s="36">
        <v>1719</v>
      </c>
      <c r="F62" s="36">
        <v>100</v>
      </c>
      <c r="G62" s="36">
        <v>70</v>
      </c>
      <c r="H62" s="37">
        <v>1490700</v>
      </c>
    </row>
    <row r="63" spans="1:8" ht="15.75" thickBot="1">
      <c r="A63" s="35"/>
      <c r="B63" s="36"/>
      <c r="C63" s="36"/>
      <c r="D63" s="36"/>
      <c r="E63" s="36"/>
      <c r="F63" s="36"/>
      <c r="G63" s="36"/>
      <c r="H63" s="37"/>
    </row>
    <row r="64" spans="1:8" ht="15.75" thickBot="1">
      <c r="A64" s="35"/>
      <c r="B64" s="41" t="s">
        <v>220</v>
      </c>
      <c r="C64" s="36"/>
      <c r="D64" s="36"/>
      <c r="E64" s="36"/>
      <c r="F64" s="36"/>
      <c r="G64" s="36"/>
      <c r="H64" s="37"/>
    </row>
    <row r="65" spans="1:8" ht="35.25" thickBot="1">
      <c r="A65" s="35"/>
      <c r="B65" s="36" t="s">
        <v>221</v>
      </c>
      <c r="C65" s="36" t="s">
        <v>222</v>
      </c>
      <c r="D65" s="36" t="s">
        <v>56</v>
      </c>
      <c r="E65" s="36" t="s">
        <v>57</v>
      </c>
      <c r="F65" s="36">
        <v>14.7</v>
      </c>
      <c r="G65" s="36">
        <v>20</v>
      </c>
      <c r="H65" s="37"/>
    </row>
    <row r="66" spans="1:8" ht="15.75" thickBot="1">
      <c r="A66" s="35"/>
      <c r="B66" s="36" t="s">
        <v>223</v>
      </c>
      <c r="C66" s="36" t="s">
        <v>224</v>
      </c>
      <c r="D66" s="36" t="s">
        <v>56</v>
      </c>
      <c r="E66" s="36"/>
      <c r="F66" s="36">
        <v>14.7</v>
      </c>
      <c r="G66" s="36">
        <v>20</v>
      </c>
      <c r="H66" s="37"/>
    </row>
    <row r="67" spans="1:8" ht="15.75" thickBot="1">
      <c r="A67" s="35"/>
      <c r="B67" s="36" t="s">
        <v>225</v>
      </c>
      <c r="C67" s="36" t="s">
        <v>226</v>
      </c>
      <c r="D67" s="36" t="s">
        <v>56</v>
      </c>
      <c r="E67" s="36"/>
      <c r="F67" s="36">
        <v>14.7</v>
      </c>
      <c r="G67" s="36">
        <v>20</v>
      </c>
      <c r="H67" s="37"/>
    </row>
    <row r="68" spans="1:8" ht="24" thickBot="1">
      <c r="A68" s="35"/>
      <c r="B68" s="36" t="s">
        <v>227</v>
      </c>
      <c r="C68" s="36" t="s">
        <v>228</v>
      </c>
      <c r="D68" s="36" t="s">
        <v>56</v>
      </c>
      <c r="E68" s="36">
        <v>500</v>
      </c>
      <c r="F68" s="36">
        <v>14.7</v>
      </c>
      <c r="G68" s="36">
        <v>20</v>
      </c>
      <c r="H68" s="37"/>
    </row>
    <row r="69" spans="1:8" ht="15.75" thickBot="1">
      <c r="A69" s="35"/>
      <c r="B69" s="36" t="s">
        <v>229</v>
      </c>
      <c r="C69" s="36"/>
      <c r="D69" s="36"/>
      <c r="E69" s="36"/>
      <c r="F69" s="36"/>
      <c r="G69" s="36"/>
      <c r="H69" s="37"/>
    </row>
    <row r="70" spans="1:8" ht="15.75" thickBot="1">
      <c r="A70" s="35"/>
      <c r="B70" s="41" t="s">
        <v>230</v>
      </c>
      <c r="C70" s="36"/>
      <c r="D70" s="36"/>
      <c r="E70" s="36"/>
      <c r="F70" s="36"/>
      <c r="G70" s="36"/>
      <c r="H70" s="37"/>
    </row>
    <row r="71" spans="1:8" ht="15.75" thickBot="1">
      <c r="A71" s="35"/>
      <c r="B71" s="36" t="s">
        <v>231</v>
      </c>
      <c r="C71" s="36"/>
      <c r="D71" s="36" t="s">
        <v>56</v>
      </c>
      <c r="E71" s="36"/>
      <c r="F71" s="36">
        <v>14.7</v>
      </c>
      <c r="G71" s="36"/>
      <c r="H71" s="37"/>
    </row>
    <row r="72" spans="1:8" ht="15.75" thickBot="1">
      <c r="A72" s="35"/>
      <c r="B72" s="36" t="s">
        <v>232</v>
      </c>
      <c r="C72" s="36"/>
      <c r="D72" s="36" t="s">
        <v>56</v>
      </c>
      <c r="E72" s="36"/>
      <c r="F72" s="36">
        <v>14.7</v>
      </c>
      <c r="G72" s="36"/>
      <c r="H72" s="37"/>
    </row>
    <row r="73" spans="1:8" ht="15.75" thickBot="1">
      <c r="A73" s="35"/>
      <c r="B73" s="36" t="s">
        <v>233</v>
      </c>
      <c r="C73" s="36"/>
      <c r="D73" s="36" t="s">
        <v>56</v>
      </c>
      <c r="E73" s="36">
        <v>500</v>
      </c>
      <c r="F73" s="36">
        <v>14.7</v>
      </c>
      <c r="G73" s="36"/>
      <c r="H73" s="37">
        <v>35000000</v>
      </c>
    </row>
    <row r="74" spans="1:8" ht="15.75" thickBot="1">
      <c r="A74" s="35"/>
      <c r="B74" s="36"/>
      <c r="C74" s="36"/>
      <c r="D74" s="36"/>
      <c r="E74" s="36"/>
      <c r="F74" s="36"/>
      <c r="G74" s="36"/>
      <c r="H74" s="37"/>
    </row>
    <row r="75" spans="1:8" ht="15.75" thickBot="1">
      <c r="A75" s="35" t="s">
        <v>234</v>
      </c>
      <c r="B75" s="36"/>
      <c r="C75" s="36"/>
      <c r="D75" s="36"/>
      <c r="E75" s="36"/>
      <c r="F75" s="36"/>
      <c r="G75" s="36"/>
      <c r="H75" s="37">
        <f>SUM(H26+H60+H62+H73)</f>
        <v>103541110</v>
      </c>
    </row>
    <row r="76" spans="1:8">
      <c r="A76" s="42"/>
      <c r="B76" s="43"/>
      <c r="C76" s="43"/>
      <c r="D76" s="43"/>
      <c r="E76" s="43"/>
      <c r="F76" s="43"/>
      <c r="G76" s="43"/>
      <c r="H76" s="43"/>
    </row>
    <row r="77" spans="1:8" ht="23.25">
      <c r="A77" s="43"/>
      <c r="B77" s="43"/>
      <c r="C77" s="43" t="s">
        <v>235</v>
      </c>
      <c r="D77" s="43" t="s">
        <v>236</v>
      </c>
      <c r="E77" s="43"/>
      <c r="F77" s="43"/>
      <c r="G77" s="43"/>
      <c r="H77" s="43"/>
    </row>
  </sheetData>
  <phoneticPr fontId="8"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D22"/>
  <sheetViews>
    <sheetView workbookViewId="0">
      <selection activeCell="D2" sqref="D2"/>
    </sheetView>
  </sheetViews>
  <sheetFormatPr defaultRowHeight="15"/>
  <cols>
    <col min="1" max="1" width="30" customWidth="1"/>
    <col min="2" max="2" width="21.42578125" style="1" customWidth="1"/>
    <col min="3" max="3" width="19.7109375" style="1" customWidth="1"/>
    <col min="4" max="4" width="15.85546875" style="1" customWidth="1"/>
    <col min="5" max="5" width="15.28515625" customWidth="1"/>
    <col min="6" max="6" width="11.140625" customWidth="1"/>
    <col min="7" max="7" width="12.85546875" customWidth="1"/>
    <col min="8" max="8" width="15.7109375" customWidth="1"/>
  </cols>
  <sheetData>
    <row r="1" spans="1:4" ht="26.25" customHeight="1">
      <c r="A1" s="26" t="s">
        <v>107</v>
      </c>
      <c r="B1" s="2"/>
      <c r="C1" s="2"/>
      <c r="D1" s="2"/>
    </row>
    <row r="2" spans="1:4">
      <c r="A2" s="4" t="s">
        <v>106</v>
      </c>
      <c r="B2" s="2"/>
      <c r="C2" s="25">
        <f>103541110</f>
        <v>103541110</v>
      </c>
      <c r="D2" s="3"/>
    </row>
    <row r="3" spans="1:4">
      <c r="D3" s="90"/>
    </row>
    <row r="4" spans="1:4">
      <c r="A4" s="92" t="s">
        <v>88</v>
      </c>
      <c r="B4" s="93" t="s">
        <v>2</v>
      </c>
      <c r="C4" s="94" t="s">
        <v>1</v>
      </c>
      <c r="D4" s="2"/>
    </row>
    <row r="5" spans="1:4">
      <c r="A5" s="22" t="s">
        <v>89</v>
      </c>
      <c r="B5" s="1">
        <v>0.47</v>
      </c>
      <c r="C5" s="23">
        <f>B5*$C$2</f>
        <v>48664321.699999996</v>
      </c>
      <c r="D5" s="2"/>
    </row>
    <row r="6" spans="1:4">
      <c r="A6" s="22" t="s">
        <v>90</v>
      </c>
      <c r="B6" s="1">
        <v>0.36</v>
      </c>
      <c r="C6" s="23">
        <f t="shared" ref="C6:C11" si="0">B6*$C$2</f>
        <v>37274799.600000001</v>
      </c>
    </row>
    <row r="7" spans="1:4">
      <c r="A7" s="22" t="s">
        <v>91</v>
      </c>
      <c r="B7" s="1">
        <v>0.68</v>
      </c>
      <c r="C7" s="23">
        <f t="shared" si="0"/>
        <v>70407954.800000012</v>
      </c>
    </row>
    <row r="8" spans="1:4">
      <c r="A8" s="22" t="s">
        <v>92</v>
      </c>
      <c r="B8" s="1">
        <v>0.11</v>
      </c>
      <c r="C8" s="23">
        <f t="shared" si="0"/>
        <v>11389522.1</v>
      </c>
    </row>
    <row r="9" spans="1:4">
      <c r="A9" s="22" t="s">
        <v>93</v>
      </c>
      <c r="B9" s="1">
        <v>0.09</v>
      </c>
      <c r="C9" s="23">
        <f t="shared" si="0"/>
        <v>9318699.9000000004</v>
      </c>
    </row>
    <row r="10" spans="1:4">
      <c r="A10" s="22" t="s">
        <v>94</v>
      </c>
      <c r="B10" s="1">
        <v>0.1</v>
      </c>
      <c r="C10" s="23">
        <f t="shared" si="0"/>
        <v>10354111</v>
      </c>
    </row>
    <row r="11" spans="1:4">
      <c r="A11" s="22" t="s">
        <v>95</v>
      </c>
      <c r="B11" s="1">
        <v>0.7</v>
      </c>
      <c r="C11" s="23">
        <f t="shared" si="0"/>
        <v>72478777</v>
      </c>
    </row>
    <row r="12" spans="1:4">
      <c r="A12" s="2" t="s">
        <v>96</v>
      </c>
      <c r="C12" s="23">
        <f>SUM(C5:C11)</f>
        <v>259888186.10000002</v>
      </c>
    </row>
    <row r="14" spans="1:4">
      <c r="A14" s="94" t="s">
        <v>97</v>
      </c>
      <c r="B14" s="93" t="s">
        <v>2</v>
      </c>
      <c r="C14" s="94" t="s">
        <v>1</v>
      </c>
    </row>
    <row r="15" spans="1:4">
      <c r="A15" s="22" t="s">
        <v>98</v>
      </c>
      <c r="B15" s="1">
        <v>0.33</v>
      </c>
      <c r="C15" s="23">
        <f>B15*$C$2</f>
        <v>34168566.300000004</v>
      </c>
    </row>
    <row r="16" spans="1:4">
      <c r="A16" s="22" t="s">
        <v>99</v>
      </c>
      <c r="B16" s="1">
        <v>0.41</v>
      </c>
      <c r="C16" s="23">
        <f>B16*$C$2</f>
        <v>42451855.099999994</v>
      </c>
    </row>
    <row r="17" spans="1:3">
      <c r="A17" s="22" t="s">
        <v>100</v>
      </c>
      <c r="B17" s="1">
        <v>0.04</v>
      </c>
      <c r="C17" s="23">
        <f>B17*$C$2</f>
        <v>4141644.4</v>
      </c>
    </row>
    <row r="18" spans="1:3">
      <c r="A18" s="22" t="s">
        <v>101</v>
      </c>
      <c r="B18" s="1">
        <v>0.22</v>
      </c>
      <c r="C18" s="23">
        <f>B18*$C$2</f>
        <v>22779044.199999999</v>
      </c>
    </row>
    <row r="19" spans="1:3">
      <c r="A19" s="22" t="s">
        <v>102</v>
      </c>
      <c r="B19" s="1">
        <v>0.44</v>
      </c>
      <c r="C19" s="23">
        <f>B19*$C$2</f>
        <v>45558088.399999999</v>
      </c>
    </row>
    <row r="20" spans="1:3">
      <c r="A20" s="2" t="s">
        <v>103</v>
      </c>
      <c r="C20" s="91">
        <f>SUM(C15:C19)</f>
        <v>149099198.40000001</v>
      </c>
    </row>
    <row r="22" spans="1:3">
      <c r="A22" t="s">
        <v>104</v>
      </c>
      <c r="C22" s="24">
        <f>SUM(C12+C20+D3)</f>
        <v>408987384.5</v>
      </c>
    </row>
  </sheetData>
  <phoneticPr fontId="8" type="noConversion"/>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dimension ref="A2:L30"/>
  <sheetViews>
    <sheetView workbookViewId="0">
      <selection activeCell="D21" sqref="D21"/>
    </sheetView>
  </sheetViews>
  <sheetFormatPr defaultRowHeight="15"/>
  <cols>
    <col min="1" max="1" width="27.28515625" customWidth="1"/>
    <col min="2" max="2" width="9.140625" style="1"/>
    <col min="3" max="3" width="14" style="1" customWidth="1"/>
    <col min="4" max="4" width="16.42578125" style="1" customWidth="1"/>
    <col min="5" max="5" width="1.85546875" customWidth="1"/>
  </cols>
  <sheetData>
    <row r="2" spans="1:12">
      <c r="A2" s="6" t="s">
        <v>3</v>
      </c>
      <c r="B2" s="7" t="s">
        <v>0</v>
      </c>
      <c r="C2" s="8" t="s">
        <v>18</v>
      </c>
      <c r="D2" s="8" t="s">
        <v>105</v>
      </c>
      <c r="E2" s="9"/>
      <c r="F2" s="9"/>
      <c r="G2" s="9"/>
      <c r="H2" s="9"/>
      <c r="I2" s="9"/>
      <c r="J2" s="9"/>
      <c r="K2" s="9"/>
      <c r="L2" s="9"/>
    </row>
    <row r="3" spans="1:12">
      <c r="A3" t="s">
        <v>4</v>
      </c>
      <c r="B3" s="1">
        <v>42</v>
      </c>
      <c r="C3" s="3">
        <v>42000</v>
      </c>
      <c r="D3" s="3">
        <f>B3*C3</f>
        <v>1764000</v>
      </c>
      <c r="F3" t="s">
        <v>45</v>
      </c>
    </row>
    <row r="4" spans="1:12">
      <c r="A4" t="s">
        <v>5</v>
      </c>
      <c r="B4" s="1">
        <v>4</v>
      </c>
      <c r="C4" s="3">
        <v>42000</v>
      </c>
      <c r="D4" s="3">
        <f t="shared" ref="D4:D11" si="0">B4*C4</f>
        <v>168000</v>
      </c>
      <c r="F4" t="s">
        <v>46</v>
      </c>
    </row>
    <row r="5" spans="1:12">
      <c r="A5" t="s">
        <v>6</v>
      </c>
      <c r="B5" s="1">
        <v>3</v>
      </c>
      <c r="C5" s="3">
        <v>70000</v>
      </c>
      <c r="D5" s="3">
        <f t="shared" si="0"/>
        <v>210000</v>
      </c>
      <c r="F5" t="s">
        <v>7</v>
      </c>
    </row>
    <row r="6" spans="1:12">
      <c r="A6" t="s">
        <v>8</v>
      </c>
      <c r="B6" s="1">
        <v>2</v>
      </c>
      <c r="C6" s="3">
        <v>28000</v>
      </c>
      <c r="D6" s="3">
        <f t="shared" si="0"/>
        <v>56000</v>
      </c>
      <c r="F6" t="s">
        <v>7</v>
      </c>
    </row>
    <row r="7" spans="1:12">
      <c r="A7" t="s">
        <v>12</v>
      </c>
      <c r="B7" s="1">
        <v>7</v>
      </c>
      <c r="C7" s="3">
        <v>42000</v>
      </c>
      <c r="D7" s="3">
        <f t="shared" si="0"/>
        <v>294000</v>
      </c>
      <c r="F7" t="s">
        <v>46</v>
      </c>
    </row>
    <row r="8" spans="1:12">
      <c r="A8" t="s">
        <v>10</v>
      </c>
      <c r="B8" s="1">
        <v>1</v>
      </c>
      <c r="C8" s="3">
        <v>42000</v>
      </c>
      <c r="D8" s="3">
        <f t="shared" si="0"/>
        <v>42000</v>
      </c>
      <c r="F8" t="s">
        <v>46</v>
      </c>
    </row>
    <row r="9" spans="1:12">
      <c r="A9" s="18" t="s">
        <v>9</v>
      </c>
      <c r="B9" s="19">
        <v>4</v>
      </c>
      <c r="C9" s="20">
        <v>50000</v>
      </c>
      <c r="D9" s="3">
        <f t="shared" si="0"/>
        <v>200000</v>
      </c>
      <c r="E9" s="18"/>
      <c r="F9" s="18" t="s">
        <v>13</v>
      </c>
      <c r="G9" s="18"/>
      <c r="H9" s="18"/>
      <c r="I9" s="18"/>
      <c r="J9" s="18"/>
      <c r="K9" s="18"/>
      <c r="L9" s="18"/>
    </row>
    <row r="10" spans="1:12">
      <c r="A10" s="18" t="s">
        <v>48</v>
      </c>
      <c r="B10" s="19">
        <v>4</v>
      </c>
      <c r="C10" s="3">
        <v>42000</v>
      </c>
      <c r="D10" s="3">
        <f t="shared" si="0"/>
        <v>168000</v>
      </c>
      <c r="E10" s="18"/>
      <c r="F10" s="18" t="s">
        <v>49</v>
      </c>
      <c r="G10" s="18"/>
      <c r="H10" s="18"/>
      <c r="I10" s="18"/>
      <c r="J10" s="18"/>
      <c r="K10" s="18"/>
      <c r="L10" s="18"/>
    </row>
    <row r="11" spans="1:12">
      <c r="A11" t="s">
        <v>11</v>
      </c>
      <c r="B11" s="1">
        <v>1</v>
      </c>
      <c r="C11" s="3">
        <v>110000</v>
      </c>
      <c r="D11" s="3">
        <f t="shared" si="0"/>
        <v>110000</v>
      </c>
    </row>
    <row r="12" spans="1:12">
      <c r="A12" t="s">
        <v>259</v>
      </c>
      <c r="B12" s="1">
        <v>8</v>
      </c>
      <c r="C12" s="3">
        <v>30000</v>
      </c>
      <c r="D12" s="3">
        <f>B12*C12</f>
        <v>240000</v>
      </c>
    </row>
    <row r="13" spans="1:12">
      <c r="A13" t="s">
        <v>260</v>
      </c>
      <c r="B13" s="1">
        <v>12</v>
      </c>
      <c r="C13" s="3">
        <v>30000</v>
      </c>
      <c r="D13" s="3">
        <f>B13*C13</f>
        <v>360000</v>
      </c>
    </row>
    <row r="14" spans="1:12">
      <c r="C14" s="3"/>
      <c r="D14" s="3"/>
    </row>
    <row r="15" spans="1:12">
      <c r="A15" s="2" t="s">
        <v>15</v>
      </c>
      <c r="C15" s="3"/>
      <c r="D15" s="3">
        <f>SUM(D3:D13)</f>
        <v>3612000</v>
      </c>
    </row>
    <row r="16" spans="1:12">
      <c r="C16" s="3"/>
      <c r="D16" s="3"/>
    </row>
    <row r="17" spans="1:4">
      <c r="A17" t="s">
        <v>14</v>
      </c>
      <c r="B17" s="1">
        <v>0.4</v>
      </c>
      <c r="C17" s="3"/>
      <c r="D17" s="3">
        <f>B17*D15</f>
        <v>1444800</v>
      </c>
    </row>
    <row r="18" spans="1:4">
      <c r="C18" s="3"/>
      <c r="D18" s="3"/>
    </row>
    <row r="19" spans="1:4">
      <c r="A19" s="2" t="s">
        <v>16</v>
      </c>
      <c r="C19" s="3"/>
      <c r="D19" s="3">
        <f>D17</f>
        <v>1444800</v>
      </c>
    </row>
    <row r="20" spans="1:4">
      <c r="C20" s="3"/>
      <c r="D20" s="3"/>
    </row>
    <row r="21" spans="1:4">
      <c r="A21" s="2" t="s">
        <v>17</v>
      </c>
      <c r="D21" s="10">
        <f>D15+D17</f>
        <v>5056800</v>
      </c>
    </row>
    <row r="22" spans="1:4">
      <c r="C22" s="3"/>
      <c r="D22" s="3"/>
    </row>
    <row r="23" spans="1:4">
      <c r="C23" s="3"/>
      <c r="D23" s="3"/>
    </row>
    <row r="24" spans="1:4">
      <c r="C24" s="3"/>
      <c r="D24" s="3"/>
    </row>
    <row r="25" spans="1:4">
      <c r="C25" s="3"/>
      <c r="D25" s="3"/>
    </row>
    <row r="26" spans="1:4">
      <c r="C26" s="3"/>
      <c r="D26" s="3"/>
    </row>
    <row r="27" spans="1:4">
      <c r="C27" s="3"/>
      <c r="D27" s="3"/>
    </row>
    <row r="28" spans="1:4">
      <c r="C28" s="2"/>
      <c r="D28" s="2"/>
    </row>
    <row r="29" spans="1:4">
      <c r="C29" s="2"/>
      <c r="D29" s="2"/>
    </row>
    <row r="30" spans="1:4">
      <c r="C30" s="2"/>
      <c r="D30" s="2"/>
    </row>
  </sheetData>
  <phoneticPr fontId="8" type="noConversion"/>
  <pageMargins left="0.7" right="0.7" top="0.75" bottom="0.75" header="0.3" footer="0.3"/>
  <cellWatches>
    <cellWatch r="D21"/>
  </cellWatches>
</worksheet>
</file>

<file path=xl/worksheets/sheet4.xml><?xml version="1.0" encoding="utf-8"?>
<worksheet xmlns="http://schemas.openxmlformats.org/spreadsheetml/2006/main" xmlns:r="http://schemas.openxmlformats.org/officeDocument/2006/relationships">
  <dimension ref="A1:W51"/>
  <sheetViews>
    <sheetView tabSelected="1" topLeftCell="A7" workbookViewId="0">
      <selection activeCell="B27" sqref="B27"/>
    </sheetView>
  </sheetViews>
  <sheetFormatPr defaultRowHeight="15"/>
  <cols>
    <col min="1" max="1" width="25.42578125" customWidth="1"/>
    <col min="2" max="18" width="16.42578125" customWidth="1"/>
    <col min="19" max="21" width="16.5703125" customWidth="1"/>
    <col min="22" max="22" width="1.7109375" customWidth="1"/>
  </cols>
  <sheetData>
    <row r="1" spans="1:21" ht="21.75" customHeight="1">
      <c r="A1" s="17" t="s">
        <v>43</v>
      </c>
    </row>
    <row r="2" spans="1:21">
      <c r="C2" s="11"/>
    </row>
    <row r="3" spans="1:21">
      <c r="A3" t="s">
        <v>19</v>
      </c>
      <c r="B3">
        <v>0</v>
      </c>
      <c r="C3">
        <v>1</v>
      </c>
      <c r="D3">
        <v>2</v>
      </c>
      <c r="E3">
        <v>3</v>
      </c>
      <c r="F3">
        <v>4</v>
      </c>
      <c r="G3">
        <v>5</v>
      </c>
      <c r="H3">
        <v>6</v>
      </c>
      <c r="I3">
        <v>7</v>
      </c>
      <c r="J3">
        <v>8</v>
      </c>
      <c r="K3">
        <v>9</v>
      </c>
      <c r="L3">
        <v>10</v>
      </c>
      <c r="M3">
        <v>11</v>
      </c>
      <c r="N3">
        <v>12</v>
      </c>
      <c r="O3">
        <v>13</v>
      </c>
      <c r="P3">
        <v>14</v>
      </c>
      <c r="Q3">
        <v>15</v>
      </c>
      <c r="R3">
        <v>16</v>
      </c>
      <c r="S3">
        <v>17</v>
      </c>
      <c r="T3">
        <v>18</v>
      </c>
      <c r="U3">
        <v>19</v>
      </c>
    </row>
    <row r="4" spans="1:21">
      <c r="B4" s="16"/>
      <c r="C4" s="74"/>
      <c r="D4" s="16"/>
      <c r="E4" s="16"/>
      <c r="F4" s="16"/>
      <c r="G4" s="16"/>
      <c r="H4" s="16"/>
      <c r="I4" s="16"/>
      <c r="J4" s="16"/>
      <c r="K4" s="16"/>
      <c r="L4" s="16"/>
      <c r="M4" s="16"/>
      <c r="N4" s="16"/>
      <c r="O4" s="16"/>
      <c r="P4" s="16"/>
      <c r="Q4" s="16"/>
      <c r="R4" s="16"/>
      <c r="S4" s="16"/>
      <c r="T4" s="16"/>
      <c r="U4" s="16"/>
    </row>
    <row r="5" spans="1:21">
      <c r="A5" s="11" t="s">
        <v>20</v>
      </c>
      <c r="B5" s="16">
        <f>408987384.5+320455515</f>
        <v>729442899.5</v>
      </c>
      <c r="C5" s="16"/>
      <c r="D5" s="16"/>
      <c r="E5" s="16"/>
      <c r="F5" s="16"/>
      <c r="G5" s="16"/>
      <c r="H5" s="16"/>
      <c r="I5" s="16"/>
      <c r="J5" s="16"/>
      <c r="K5" s="16"/>
      <c r="L5" s="16"/>
      <c r="M5" s="16"/>
      <c r="N5" s="16"/>
      <c r="O5" s="16"/>
      <c r="P5" s="16"/>
      <c r="Q5" s="16"/>
      <c r="R5" s="16"/>
      <c r="S5" s="16"/>
      <c r="T5" s="16"/>
      <c r="U5" s="16"/>
    </row>
    <row r="6" spans="1:21">
      <c r="B6" s="16"/>
      <c r="C6" s="16"/>
      <c r="D6" s="16"/>
      <c r="E6" s="16"/>
      <c r="F6" s="16"/>
      <c r="G6" s="16"/>
      <c r="H6" s="16"/>
      <c r="I6" s="16"/>
      <c r="J6" s="16"/>
      <c r="K6" s="16"/>
      <c r="L6" s="16"/>
      <c r="M6" s="16"/>
      <c r="N6" s="16"/>
      <c r="O6" s="16"/>
      <c r="P6" s="16"/>
      <c r="Q6" s="16"/>
      <c r="R6" s="16"/>
      <c r="S6" s="16"/>
      <c r="T6" s="16"/>
      <c r="U6" s="16"/>
    </row>
    <row r="7" spans="1:21">
      <c r="A7" s="12" t="s">
        <v>21</v>
      </c>
      <c r="B7" s="16"/>
      <c r="C7" s="16"/>
      <c r="D7" s="16"/>
      <c r="E7" s="16">
        <f>SUM(E8:E13)</f>
        <v>598737989.96759987</v>
      </c>
      <c r="F7" s="16">
        <f t="shared" ref="F7:U7" si="0">SUM(F8:F13)</f>
        <v>1027760049.44438</v>
      </c>
      <c r="G7" s="16">
        <f t="shared" si="0"/>
        <v>1058592850.9277114</v>
      </c>
      <c r="H7" s="16">
        <f t="shared" si="0"/>
        <v>1090350636.4555428</v>
      </c>
      <c r="I7" s="16">
        <f t="shared" si="0"/>
        <v>1123061155.5492091</v>
      </c>
      <c r="J7" s="16">
        <f t="shared" si="0"/>
        <v>1156752990.2156856</v>
      </c>
      <c r="K7" s="16">
        <f t="shared" si="0"/>
        <v>1191455579.9221561</v>
      </c>
      <c r="L7" s="16">
        <f t="shared" si="0"/>
        <v>1227199247.3198209</v>
      </c>
      <c r="M7" s="16">
        <f t="shared" si="0"/>
        <v>1264015224.7394154</v>
      </c>
      <c r="N7" s="16">
        <f t="shared" si="0"/>
        <v>1301935681.4815979</v>
      </c>
      <c r="O7" s="16">
        <f t="shared" si="0"/>
        <v>1340993751.9260459</v>
      </c>
      <c r="P7" s="16">
        <f t="shared" si="0"/>
        <v>1381223564.4838271</v>
      </c>
      <c r="Q7" s="16">
        <f t="shared" si="0"/>
        <v>1422660271.4183421</v>
      </c>
      <c r="R7" s="16">
        <f t="shared" si="0"/>
        <v>1465340079.5608923</v>
      </c>
      <c r="S7" s="16">
        <f t="shared" si="0"/>
        <v>1509300281.9477193</v>
      </c>
      <c r="T7" s="16">
        <f t="shared" si="0"/>
        <v>1554579290.4061508</v>
      </c>
      <c r="U7" s="16">
        <f t="shared" si="0"/>
        <v>1601216669.1183355</v>
      </c>
    </row>
    <row r="8" spans="1:21" ht="30">
      <c r="A8" s="78" t="s">
        <v>251</v>
      </c>
      <c r="B8" s="16"/>
      <c r="C8" s="16"/>
      <c r="D8" s="16"/>
      <c r="E8" s="16">
        <f>0.6*3158511.48</f>
        <v>1895106.8879999998</v>
      </c>
      <c r="F8" s="16">
        <f>3253266.8244</f>
        <v>3253266.8243999998</v>
      </c>
      <c r="G8" s="16">
        <f t="shared" ref="G8:U11" si="1">F8*1.03</f>
        <v>3350864.829132</v>
      </c>
      <c r="H8" s="16">
        <f t="shared" si="1"/>
        <v>3451390.7740059602</v>
      </c>
      <c r="I8" s="16">
        <f t="shared" si="1"/>
        <v>3554932.4972261391</v>
      </c>
      <c r="J8" s="16">
        <f t="shared" si="1"/>
        <v>3661580.4721429232</v>
      </c>
      <c r="K8" s="16">
        <f t="shared" si="1"/>
        <v>3771427.8863072111</v>
      </c>
      <c r="L8" s="16">
        <f t="shared" si="1"/>
        <v>3884570.7228964274</v>
      </c>
      <c r="M8" s="16">
        <f t="shared" si="1"/>
        <v>4001107.8445833204</v>
      </c>
      <c r="N8" s="16">
        <f t="shared" si="1"/>
        <v>4121141.07992082</v>
      </c>
      <c r="O8" s="16">
        <f t="shared" si="1"/>
        <v>4244775.3123184443</v>
      </c>
      <c r="P8" s="16">
        <f t="shared" si="1"/>
        <v>4372118.5716879973</v>
      </c>
      <c r="Q8" s="16">
        <f t="shared" si="1"/>
        <v>4503282.1288386369</v>
      </c>
      <c r="R8" s="16">
        <f t="shared" si="1"/>
        <v>4638380.592703796</v>
      </c>
      <c r="S8" s="16">
        <f t="shared" si="1"/>
        <v>4777532.0104849096</v>
      </c>
      <c r="T8" s="16">
        <f t="shared" si="1"/>
        <v>4920857.9707994573</v>
      </c>
      <c r="U8" s="16">
        <f t="shared" si="1"/>
        <v>5068483.7099234415</v>
      </c>
    </row>
    <row r="9" spans="1:21" ht="30">
      <c r="A9" s="78" t="s">
        <v>252</v>
      </c>
      <c r="B9" s="16"/>
      <c r="C9" s="16"/>
      <c r="D9" s="16"/>
      <c r="E9" s="16">
        <f>0.6*4680096.696</f>
        <v>2808058.0176000004</v>
      </c>
      <c r="F9" s="16">
        <f>4820499.59688</f>
        <v>4820499.5968800001</v>
      </c>
      <c r="G9" s="16">
        <f t="shared" ref="G9:S9" si="2">F9*1.03</f>
        <v>4965114.5847864002</v>
      </c>
      <c r="H9" s="16">
        <f t="shared" si="2"/>
        <v>5114068.0223299926</v>
      </c>
      <c r="I9" s="16">
        <f t="shared" si="2"/>
        <v>5267490.062999893</v>
      </c>
      <c r="J9" s="16">
        <f t="shared" si="2"/>
        <v>5425514.7648898903</v>
      </c>
      <c r="K9" s="16">
        <f t="shared" si="2"/>
        <v>5588280.207836587</v>
      </c>
      <c r="L9" s="16">
        <f t="shared" si="2"/>
        <v>5755928.6140716849</v>
      </c>
      <c r="M9" s="16">
        <f t="shared" si="2"/>
        <v>5928606.4724938357</v>
      </c>
      <c r="N9" s="16">
        <f t="shared" si="2"/>
        <v>6106464.6666686507</v>
      </c>
      <c r="O9" s="16">
        <f t="shared" si="2"/>
        <v>6289658.6066687107</v>
      </c>
      <c r="P9" s="16">
        <f t="shared" si="2"/>
        <v>6478348.3648687722</v>
      </c>
      <c r="Q9" s="16">
        <f t="shared" si="2"/>
        <v>6672698.815814836</v>
      </c>
      <c r="R9" s="16">
        <f t="shared" si="2"/>
        <v>6872879.7802892812</v>
      </c>
      <c r="S9" s="16">
        <f t="shared" si="2"/>
        <v>7079066.1736979596</v>
      </c>
      <c r="T9" s="16">
        <f t="shared" si="1"/>
        <v>7291438.1589088989</v>
      </c>
      <c r="U9" s="16">
        <f t="shared" si="1"/>
        <v>7510181.3036761656</v>
      </c>
    </row>
    <row r="10" spans="1:21" ht="30">
      <c r="A10" s="44" t="s">
        <v>253</v>
      </c>
      <c r="B10" s="16"/>
      <c r="C10" s="16"/>
      <c r="D10" s="16"/>
      <c r="E10" s="16">
        <f>0.6*987608041.77</f>
        <v>592564825.06199992</v>
      </c>
      <c r="F10" s="16">
        <f>1017236283.0231</f>
        <v>1017236283.0231</v>
      </c>
      <c r="G10" s="16">
        <f t="shared" si="1"/>
        <v>1047753371.513793</v>
      </c>
      <c r="H10" s="16">
        <f t="shared" si="1"/>
        <v>1079185972.6592069</v>
      </c>
      <c r="I10" s="16">
        <f t="shared" si="1"/>
        <v>1111561551.8389831</v>
      </c>
      <c r="J10" s="16">
        <f t="shared" si="1"/>
        <v>1144908398.3941526</v>
      </c>
      <c r="K10" s="16">
        <f t="shared" si="1"/>
        <v>1179255650.3459773</v>
      </c>
      <c r="L10" s="16">
        <f t="shared" si="1"/>
        <v>1214633319.8563566</v>
      </c>
      <c r="M10" s="16">
        <f t="shared" si="1"/>
        <v>1251072319.4520473</v>
      </c>
      <c r="N10" s="16">
        <f t="shared" si="1"/>
        <v>1288604489.0356088</v>
      </c>
      <c r="O10" s="16">
        <f t="shared" si="1"/>
        <v>1327262623.706677</v>
      </c>
      <c r="P10" s="16">
        <f t="shared" si="1"/>
        <v>1367080502.4178772</v>
      </c>
      <c r="Q10" s="16">
        <f t="shared" si="1"/>
        <v>1408092917.4904137</v>
      </c>
      <c r="R10" s="16">
        <f t="shared" si="1"/>
        <v>1450335705.0151262</v>
      </c>
      <c r="S10" s="16">
        <f t="shared" si="1"/>
        <v>1493845776.16558</v>
      </c>
      <c r="T10" s="16">
        <f t="shared" si="1"/>
        <v>1538661149.4505475</v>
      </c>
      <c r="U10" s="16">
        <f t="shared" si="1"/>
        <v>1584820983.9340639</v>
      </c>
    </row>
    <row r="11" spans="1:21" ht="30">
      <c r="A11" s="44" t="s">
        <v>261</v>
      </c>
      <c r="B11" s="16"/>
      <c r="C11" s="16"/>
      <c r="D11" s="16"/>
      <c r="E11" s="16">
        <f>0.6*F11</f>
        <v>1470000</v>
      </c>
      <c r="F11" s="16">
        <f>35000*70</f>
        <v>2450000</v>
      </c>
      <c r="G11" s="16">
        <f>F11*1.03</f>
        <v>2523500</v>
      </c>
      <c r="H11" s="16">
        <f t="shared" si="1"/>
        <v>2599205</v>
      </c>
      <c r="I11" s="16">
        <f t="shared" si="1"/>
        <v>2677181.15</v>
      </c>
      <c r="J11" s="16">
        <f t="shared" si="1"/>
        <v>2757496.5844999999</v>
      </c>
      <c r="K11" s="16">
        <f t="shared" si="1"/>
        <v>2840221.4820349999</v>
      </c>
      <c r="L11" s="16">
        <f t="shared" si="1"/>
        <v>2925428.12649605</v>
      </c>
      <c r="M11" s="16">
        <f t="shared" si="1"/>
        <v>3013190.9702909314</v>
      </c>
      <c r="N11" s="16">
        <f t="shared" si="1"/>
        <v>3103586.6993996594</v>
      </c>
      <c r="O11" s="16">
        <f t="shared" si="1"/>
        <v>3196694.3003816493</v>
      </c>
      <c r="P11" s="16">
        <f t="shared" si="1"/>
        <v>3292595.1293930989</v>
      </c>
      <c r="Q11" s="16">
        <f t="shared" si="1"/>
        <v>3391372.983274892</v>
      </c>
      <c r="R11" s="16">
        <f t="shared" si="1"/>
        <v>3493114.1727731386</v>
      </c>
      <c r="S11" s="16">
        <f t="shared" si="1"/>
        <v>3597907.5979563328</v>
      </c>
      <c r="T11" s="16">
        <f t="shared" si="1"/>
        <v>3705844.8258950231</v>
      </c>
      <c r="U11" s="16">
        <f t="shared" si="1"/>
        <v>3817020.1706718737</v>
      </c>
    </row>
    <row r="12" spans="1:21">
      <c r="A12" s="44"/>
      <c r="B12" s="16"/>
      <c r="C12" s="16"/>
      <c r="D12" s="16"/>
      <c r="E12" s="16"/>
      <c r="F12" s="16"/>
      <c r="G12" s="16"/>
      <c r="H12" s="16"/>
      <c r="I12" s="16"/>
      <c r="J12" s="16"/>
      <c r="K12" s="16"/>
      <c r="L12" s="16"/>
      <c r="M12" s="16"/>
      <c r="N12" s="16"/>
      <c r="O12" s="16"/>
      <c r="P12" s="16"/>
      <c r="Q12" s="16"/>
      <c r="R12" s="16"/>
      <c r="S12" s="16"/>
      <c r="T12" s="16"/>
      <c r="U12" s="16"/>
    </row>
    <row r="13" spans="1:21">
      <c r="A13" t="s">
        <v>238</v>
      </c>
      <c r="B13" s="16"/>
    </row>
    <row r="14" spans="1:21">
      <c r="A14" s="12" t="s">
        <v>22</v>
      </c>
      <c r="C14" s="16"/>
      <c r="D14" s="16"/>
      <c r="E14" s="16"/>
      <c r="F14" s="16"/>
      <c r="G14" s="16"/>
      <c r="H14" s="16"/>
      <c r="I14" s="16"/>
      <c r="J14" s="16"/>
      <c r="K14" s="16"/>
      <c r="L14" s="16"/>
      <c r="M14" s="16"/>
      <c r="N14" s="16"/>
      <c r="O14" s="16"/>
      <c r="P14" s="16"/>
      <c r="Q14" s="16"/>
      <c r="R14" s="16"/>
      <c r="S14" s="16"/>
      <c r="T14" s="16"/>
      <c r="U14" s="16"/>
    </row>
    <row r="15" spans="1:21">
      <c r="A15" t="s">
        <v>24</v>
      </c>
      <c r="C15" s="16">
        <f>($B$5*EXP(0.8))/10</f>
        <v>162340502.78354678</v>
      </c>
      <c r="D15" s="16">
        <f t="shared" ref="D15:L15" si="3">($B$5*EXP(0.8))/10</f>
        <v>162340502.78354678</v>
      </c>
      <c r="E15" s="16">
        <f t="shared" si="3"/>
        <v>162340502.78354678</v>
      </c>
      <c r="F15" s="16">
        <f t="shared" si="3"/>
        <v>162340502.78354678</v>
      </c>
      <c r="G15" s="16">
        <f t="shared" si="3"/>
        <v>162340502.78354678</v>
      </c>
      <c r="H15" s="16">
        <f t="shared" si="3"/>
        <v>162340502.78354678</v>
      </c>
      <c r="I15" s="16">
        <f t="shared" si="3"/>
        <v>162340502.78354678</v>
      </c>
      <c r="J15" s="16">
        <f t="shared" si="3"/>
        <v>162340502.78354678</v>
      </c>
      <c r="K15" s="16">
        <f t="shared" si="3"/>
        <v>162340502.78354678</v>
      </c>
      <c r="L15" s="16">
        <f t="shared" si="3"/>
        <v>162340502.78354678</v>
      </c>
      <c r="M15" s="16">
        <v>0</v>
      </c>
      <c r="N15" s="16">
        <v>0</v>
      </c>
      <c r="O15" s="16">
        <v>0</v>
      </c>
      <c r="P15" s="16">
        <v>0</v>
      </c>
      <c r="Q15" s="16">
        <v>0</v>
      </c>
      <c r="R15" s="16">
        <v>0</v>
      </c>
      <c r="S15" s="16">
        <v>0</v>
      </c>
      <c r="T15" s="16">
        <v>0</v>
      </c>
      <c r="U15" s="16">
        <v>0</v>
      </c>
    </row>
    <row r="16" spans="1:21">
      <c r="A16" s="73" t="s">
        <v>246</v>
      </c>
      <c r="C16" s="16"/>
      <c r="D16" s="16"/>
      <c r="E16" s="16"/>
      <c r="F16" s="16"/>
      <c r="G16" s="16"/>
      <c r="H16" s="16"/>
      <c r="I16" s="16"/>
      <c r="J16" s="16"/>
      <c r="K16" s="16"/>
      <c r="L16" s="16"/>
      <c r="M16" s="16"/>
      <c r="N16" s="16"/>
      <c r="O16" s="16"/>
      <c r="P16" s="16"/>
      <c r="Q16" s="16"/>
      <c r="R16" s="16"/>
      <c r="S16" s="16"/>
      <c r="T16" s="16"/>
      <c r="U16" s="16"/>
    </row>
    <row r="17" spans="1:23">
      <c r="A17" t="s">
        <v>247</v>
      </c>
      <c r="B17" s="75">
        <f>$B$5*0.1</f>
        <v>72944289.950000003</v>
      </c>
      <c r="C17" s="75">
        <f>$B$5*0.05</f>
        <v>36472144.975000001</v>
      </c>
      <c r="D17" s="75">
        <f>$B$5*0.05</f>
        <v>36472144.975000001</v>
      </c>
      <c r="E17" s="75">
        <f>$B$5*0.05</f>
        <v>36472144.975000001</v>
      </c>
      <c r="F17" s="16"/>
      <c r="G17" s="16"/>
      <c r="H17" s="16"/>
      <c r="I17" s="16"/>
      <c r="J17" s="16"/>
      <c r="K17" s="16"/>
      <c r="L17" s="16"/>
      <c r="M17" s="16"/>
      <c r="N17" s="16"/>
      <c r="O17" s="16"/>
      <c r="P17" s="16"/>
      <c r="Q17" s="16"/>
      <c r="R17" s="16"/>
      <c r="S17" s="16"/>
      <c r="T17" s="16"/>
      <c r="U17" s="16"/>
    </row>
    <row r="18" spans="1:23">
      <c r="A18" t="s">
        <v>248</v>
      </c>
      <c r="B18" s="76">
        <f>$B$5*(5/6)*0.1</f>
        <v>60786908.291666679</v>
      </c>
      <c r="C18" s="76">
        <f>$B$5*(5/6)*0.5</f>
        <v>303934541.45833337</v>
      </c>
      <c r="D18" s="76">
        <f>$B$5*(5/6)*0.3</f>
        <v>182360724.87500003</v>
      </c>
      <c r="E18" s="76">
        <f>$B$5*(5/6)*0.1</f>
        <v>60786908.291666679</v>
      </c>
      <c r="F18" s="16"/>
      <c r="G18" s="16"/>
      <c r="H18" s="16"/>
      <c r="I18" s="16"/>
      <c r="J18" s="16"/>
      <c r="K18" s="16"/>
      <c r="L18" s="16"/>
      <c r="M18" s="16"/>
      <c r="N18" s="16"/>
      <c r="O18" s="16"/>
      <c r="P18" s="16"/>
      <c r="Q18" s="16"/>
      <c r="R18" s="16"/>
      <c r="S18" s="16"/>
      <c r="T18" s="16"/>
      <c r="U18" s="16"/>
    </row>
    <row r="19" spans="1:23">
      <c r="A19" t="s">
        <v>249</v>
      </c>
      <c r="B19" s="75">
        <f>$B$5*(1/6)*0.1</f>
        <v>12157381.658333333</v>
      </c>
      <c r="C19" s="75">
        <f>$B$5*(1/6)*0.3</f>
        <v>36472144.974999994</v>
      </c>
      <c r="D19" s="77">
        <f>B5*(1/6)-C19-B19</f>
        <v>72944289.950000003</v>
      </c>
      <c r="E19" s="77"/>
      <c r="F19" s="16"/>
      <c r="G19" s="16"/>
      <c r="H19" s="16"/>
      <c r="I19" s="16"/>
      <c r="J19" s="16"/>
      <c r="K19" s="16"/>
      <c r="L19" s="16"/>
      <c r="M19" s="16"/>
      <c r="N19" s="16"/>
      <c r="O19" s="16"/>
      <c r="P19" s="16"/>
      <c r="Q19" s="16"/>
      <c r="R19" s="16"/>
      <c r="S19" s="16"/>
      <c r="T19" s="16"/>
      <c r="U19" s="16"/>
    </row>
    <row r="20" spans="1:23">
      <c r="A20" s="13" t="s">
        <v>23</v>
      </c>
      <c r="D20" s="5"/>
      <c r="E20" s="16">
        <f>SUM(E21:E24)</f>
        <v>64269136.200000003</v>
      </c>
      <c r="F20" s="16">
        <f t="shared" ref="F20:U20" si="4">SUM(F21:F24)</f>
        <v>107115227</v>
      </c>
      <c r="G20" s="16">
        <f t="shared" si="4"/>
        <v>110328683.81</v>
      </c>
      <c r="H20" s="16">
        <f t="shared" si="4"/>
        <v>113638544.32430002</v>
      </c>
      <c r="I20" s="16">
        <f t="shared" si="4"/>
        <v>117047700.65402901</v>
      </c>
      <c r="J20" s="16">
        <f t="shared" si="4"/>
        <v>120559131.67364991</v>
      </c>
      <c r="K20" s="16">
        <f t="shared" si="4"/>
        <v>124175905.62385941</v>
      </c>
      <c r="L20" s="16">
        <f t="shared" si="4"/>
        <v>127901182.79257518</v>
      </c>
      <c r="M20" s="16">
        <f t="shared" si="4"/>
        <v>131738218.27635244</v>
      </c>
      <c r="N20" s="16">
        <f t="shared" si="4"/>
        <v>135690364.82464302</v>
      </c>
      <c r="O20" s="16">
        <f t="shared" si="4"/>
        <v>139761075.7693823</v>
      </c>
      <c r="P20" s="16">
        <f t="shared" si="4"/>
        <v>143953908.04246378</v>
      </c>
      <c r="Q20" s="16">
        <f t="shared" si="4"/>
        <v>148272525.28373769</v>
      </c>
      <c r="R20" s="16">
        <f t="shared" si="4"/>
        <v>152720701.0422498</v>
      </c>
      <c r="S20" s="16">
        <f t="shared" si="4"/>
        <v>157302322.07351732</v>
      </c>
      <c r="T20" s="16">
        <f t="shared" si="4"/>
        <v>162021391.73572284</v>
      </c>
      <c r="U20" s="16">
        <f t="shared" si="4"/>
        <v>166882033.48779452</v>
      </c>
    </row>
    <row r="21" spans="1:23">
      <c r="A21" s="95" t="s">
        <v>254</v>
      </c>
      <c r="D21" s="5"/>
      <c r="E21" s="16">
        <f>0.6*F21</f>
        <v>1484649.5999999999</v>
      </c>
      <c r="F21" s="16">
        <v>2474416</v>
      </c>
      <c r="G21" s="16">
        <f>F21*1.03</f>
        <v>2548648.48</v>
      </c>
      <c r="H21" s="16">
        <f t="shared" ref="H21:U21" si="5">G21*1.03</f>
        <v>2625107.9344000001</v>
      </c>
      <c r="I21" s="16">
        <f t="shared" si="5"/>
        <v>2703861.1724320003</v>
      </c>
      <c r="J21" s="16">
        <f t="shared" si="5"/>
        <v>2784977.0076049604</v>
      </c>
      <c r="K21" s="16">
        <f t="shared" si="5"/>
        <v>2868526.3178331093</v>
      </c>
      <c r="L21" s="16">
        <f t="shared" si="5"/>
        <v>2954582.1073681028</v>
      </c>
      <c r="M21" s="16">
        <f t="shared" si="5"/>
        <v>3043219.5705891461</v>
      </c>
      <c r="N21" s="16">
        <f t="shared" si="5"/>
        <v>3134516.1577068204</v>
      </c>
      <c r="O21" s="16">
        <f t="shared" si="5"/>
        <v>3228551.6424380252</v>
      </c>
      <c r="P21" s="16">
        <f t="shared" si="5"/>
        <v>3325408.1917111659</v>
      </c>
      <c r="Q21" s="16">
        <f t="shared" si="5"/>
        <v>3425170.4374625012</v>
      </c>
      <c r="R21" s="16">
        <f t="shared" si="5"/>
        <v>3527925.5505863763</v>
      </c>
      <c r="S21" s="16">
        <f t="shared" si="5"/>
        <v>3633763.3171039675</v>
      </c>
      <c r="T21" s="16">
        <f t="shared" si="5"/>
        <v>3742776.2166170864</v>
      </c>
      <c r="U21" s="16">
        <f t="shared" si="5"/>
        <v>3855059.503115599</v>
      </c>
    </row>
    <row r="22" spans="1:23">
      <c r="A22" t="s">
        <v>242</v>
      </c>
      <c r="C22" s="27"/>
      <c r="D22" s="16"/>
      <c r="E22" s="16">
        <f>F22*0.6</f>
        <v>7200000</v>
      </c>
      <c r="F22" s="27">
        <f>16000000*0.75</f>
        <v>12000000</v>
      </c>
      <c r="G22" s="16">
        <f t="shared" ref="G22:S22" si="6">F22*1.03</f>
        <v>12360000</v>
      </c>
      <c r="H22" s="16">
        <f t="shared" si="6"/>
        <v>12730800</v>
      </c>
      <c r="I22" s="16">
        <f t="shared" si="6"/>
        <v>13112724</v>
      </c>
      <c r="J22" s="16">
        <f t="shared" si="6"/>
        <v>13506105.720000001</v>
      </c>
      <c r="K22" s="16">
        <f t="shared" si="6"/>
        <v>13911288.891600002</v>
      </c>
      <c r="L22" s="16">
        <f t="shared" si="6"/>
        <v>14328627.558348002</v>
      </c>
      <c r="M22" s="16">
        <f t="shared" si="6"/>
        <v>14758486.385098442</v>
      </c>
      <c r="N22" s="16">
        <f t="shared" si="6"/>
        <v>15201240.976651397</v>
      </c>
      <c r="O22" s="16">
        <f t="shared" si="6"/>
        <v>15657278.205950938</v>
      </c>
      <c r="P22" s="16">
        <f t="shared" si="6"/>
        <v>16126996.552129466</v>
      </c>
      <c r="Q22" s="16">
        <f t="shared" si="6"/>
        <v>16610806.44869335</v>
      </c>
      <c r="R22" s="16">
        <f t="shared" si="6"/>
        <v>17109130.64215415</v>
      </c>
      <c r="S22" s="16">
        <f t="shared" si="6"/>
        <v>17622404.561418775</v>
      </c>
      <c r="T22" s="16">
        <f t="shared" ref="T22:U24" si="7">S22*1.03</f>
        <v>18151076.698261339</v>
      </c>
      <c r="U22" s="16">
        <f t="shared" si="7"/>
        <v>18695608.99920918</v>
      </c>
    </row>
    <row r="23" spans="1:23">
      <c r="A23" t="s">
        <v>243</v>
      </c>
      <c r="C23" s="16"/>
      <c r="D23" s="16"/>
      <c r="E23" s="16">
        <f>F23*0.6</f>
        <v>22124931</v>
      </c>
      <c r="F23" s="16">
        <f>35000000+1874885</f>
        <v>36874885</v>
      </c>
      <c r="G23" s="16">
        <f t="shared" ref="G23:S23" si="8">F23*1.03</f>
        <v>37981131.550000004</v>
      </c>
      <c r="H23" s="16">
        <f t="shared" si="8"/>
        <v>39120565.496500008</v>
      </c>
      <c r="I23" s="16">
        <f t="shared" si="8"/>
        <v>40294182.46139501</v>
      </c>
      <c r="J23" s="16">
        <f t="shared" si="8"/>
        <v>41503007.935236864</v>
      </c>
      <c r="K23" s="16">
        <f t="shared" si="8"/>
        <v>42748098.173293971</v>
      </c>
      <c r="L23" s="16">
        <f t="shared" si="8"/>
        <v>44030541.11849279</v>
      </c>
      <c r="M23" s="16">
        <f t="shared" si="8"/>
        <v>45351457.352047578</v>
      </c>
      <c r="N23" s="16">
        <f t="shared" si="8"/>
        <v>46712001.072609007</v>
      </c>
      <c r="O23" s="16">
        <f t="shared" si="8"/>
        <v>48113361.104787275</v>
      </c>
      <c r="P23" s="16">
        <f t="shared" si="8"/>
        <v>49556761.937930897</v>
      </c>
      <c r="Q23" s="16">
        <f t="shared" si="8"/>
        <v>51043464.796068825</v>
      </c>
      <c r="R23" s="16">
        <f t="shared" si="8"/>
        <v>52574768.739950888</v>
      </c>
      <c r="S23" s="16">
        <f t="shared" si="8"/>
        <v>54152011.802149415</v>
      </c>
      <c r="T23" s="16">
        <f t="shared" si="7"/>
        <v>55776572.156213902</v>
      </c>
      <c r="U23" s="16">
        <f t="shared" si="7"/>
        <v>57449869.320900321</v>
      </c>
    </row>
    <row r="24" spans="1:23">
      <c r="A24" t="s">
        <v>244</v>
      </c>
      <c r="C24" s="16"/>
      <c r="D24" s="16"/>
      <c r="E24" s="16">
        <f>F24*0.6</f>
        <v>33459555.599999998</v>
      </c>
      <c r="F24" s="16">
        <f>(38000000+17765926)</f>
        <v>55765926</v>
      </c>
      <c r="G24" s="16">
        <f t="shared" ref="G24:S24" si="9">F24*1.03</f>
        <v>57438903.780000001</v>
      </c>
      <c r="H24" s="16">
        <f t="shared" si="9"/>
        <v>59162070.893400006</v>
      </c>
      <c r="I24" s="16">
        <f t="shared" si="9"/>
        <v>60936933.020202011</v>
      </c>
      <c r="J24" s="16">
        <f t="shared" si="9"/>
        <v>62765041.010808073</v>
      </c>
      <c r="K24" s="16">
        <f t="shared" si="9"/>
        <v>64647992.241132319</v>
      </c>
      <c r="L24" s="16">
        <f t="shared" si="9"/>
        <v>66587432.008366287</v>
      </c>
      <c r="M24" s="16">
        <f t="shared" si="9"/>
        <v>68585054.968617275</v>
      </c>
      <c r="N24" s="16">
        <f t="shared" si="9"/>
        <v>70642606.617675796</v>
      </c>
      <c r="O24" s="16">
        <f t="shared" si="9"/>
        <v>72761884.816206068</v>
      </c>
      <c r="P24" s="16">
        <f t="shared" si="9"/>
        <v>74944741.360692248</v>
      </c>
      <c r="Q24" s="16">
        <f t="shared" si="9"/>
        <v>77193083.601513013</v>
      </c>
      <c r="R24" s="16">
        <f t="shared" si="9"/>
        <v>79508876.109558403</v>
      </c>
      <c r="S24" s="16">
        <f t="shared" si="9"/>
        <v>81894142.392845154</v>
      </c>
      <c r="T24" s="16">
        <f t="shared" si="7"/>
        <v>84350966.664630517</v>
      </c>
      <c r="U24" s="16">
        <f t="shared" si="7"/>
        <v>86881495.664569438</v>
      </c>
    </row>
    <row r="25" spans="1:23">
      <c r="A25" t="s">
        <v>237</v>
      </c>
      <c r="C25" s="16">
        <f>$B$5*((20-C3)/190)</f>
        <v>72944289.950000003</v>
      </c>
      <c r="D25" s="16">
        <f t="shared" ref="D25:U25" si="10">$B$5*((20-D3)/190)</f>
        <v>69105116.794736847</v>
      </c>
      <c r="E25" s="16">
        <f t="shared" si="10"/>
        <v>65265943.639473684</v>
      </c>
      <c r="F25" s="16">
        <f t="shared" si="10"/>
        <v>61426770.484210528</v>
      </c>
      <c r="G25" s="16">
        <f t="shared" si="10"/>
        <v>57587597.328947365</v>
      </c>
      <c r="H25" s="16">
        <f t="shared" si="10"/>
        <v>53748424.173684202</v>
      </c>
      <c r="I25" s="16">
        <f t="shared" si="10"/>
        <v>49909251.018421054</v>
      </c>
      <c r="J25" s="16">
        <f t="shared" si="10"/>
        <v>46070077.863157898</v>
      </c>
      <c r="K25" s="16">
        <f t="shared" si="10"/>
        <v>42230904.707894735</v>
      </c>
      <c r="L25" s="16">
        <f t="shared" si="10"/>
        <v>38391731.552631579</v>
      </c>
      <c r="M25" s="16">
        <f t="shared" si="10"/>
        <v>34552558.397368424</v>
      </c>
      <c r="N25" s="16">
        <f t="shared" si="10"/>
        <v>30713385.242105264</v>
      </c>
      <c r="O25" s="16">
        <f t="shared" si="10"/>
        <v>26874212.086842101</v>
      </c>
      <c r="P25" s="16">
        <f t="shared" si="10"/>
        <v>23035038.931578949</v>
      </c>
      <c r="Q25" s="16">
        <f t="shared" si="10"/>
        <v>19195865.77631579</v>
      </c>
      <c r="R25" s="16">
        <f t="shared" si="10"/>
        <v>15356692.621052632</v>
      </c>
      <c r="S25" s="16">
        <f t="shared" si="10"/>
        <v>11517519.465789475</v>
      </c>
      <c r="T25" s="16">
        <f t="shared" si="10"/>
        <v>7678346.3105263161</v>
      </c>
      <c r="U25" s="16">
        <f t="shared" si="10"/>
        <v>3839173.155263158</v>
      </c>
    </row>
    <row r="26" spans="1:23">
      <c r="A26" t="s">
        <v>28</v>
      </c>
      <c r="C26" s="21"/>
      <c r="D26" s="16"/>
      <c r="E26" s="21">
        <v>1943200</v>
      </c>
      <c r="F26" s="16">
        <f>1.02*5056800</f>
        <v>5157936</v>
      </c>
      <c r="G26" s="16">
        <f>F26*1.02</f>
        <v>5261094.72</v>
      </c>
      <c r="H26" s="16">
        <f t="shared" ref="H26:U26" si="11">G26*1.02</f>
        <v>5366316.6143999994</v>
      </c>
      <c r="I26" s="16">
        <f t="shared" si="11"/>
        <v>5473642.9466879992</v>
      </c>
      <c r="J26" s="16">
        <f t="shared" si="11"/>
        <v>5583115.805621759</v>
      </c>
      <c r="K26" s="16">
        <f t="shared" si="11"/>
        <v>5694778.1217341945</v>
      </c>
      <c r="L26" s="16">
        <f t="shared" si="11"/>
        <v>5808673.684168878</v>
      </c>
      <c r="M26" s="16">
        <f t="shared" si="11"/>
        <v>5924847.1578522557</v>
      </c>
      <c r="N26" s="16">
        <f t="shared" si="11"/>
        <v>6043344.1010093009</v>
      </c>
      <c r="O26" s="16">
        <f t="shared" si="11"/>
        <v>6164210.9830294866</v>
      </c>
      <c r="P26" s="16">
        <f t="shared" si="11"/>
        <v>6287495.2026900761</v>
      </c>
      <c r="Q26" s="16">
        <f t="shared" si="11"/>
        <v>6413245.1067438778</v>
      </c>
      <c r="R26" s="16">
        <f t="shared" si="11"/>
        <v>6541510.0088787554</v>
      </c>
      <c r="S26" s="16">
        <f t="shared" si="11"/>
        <v>6672340.2090563308</v>
      </c>
      <c r="T26" s="16">
        <f t="shared" si="11"/>
        <v>6805787.0132374577</v>
      </c>
      <c r="U26" s="16">
        <f t="shared" si="11"/>
        <v>6941902.7535022069</v>
      </c>
    </row>
    <row r="27" spans="1:23">
      <c r="A27" t="s">
        <v>245</v>
      </c>
      <c r="C27" s="16"/>
      <c r="D27" s="16"/>
      <c r="E27" s="16">
        <f>$B$5*0.03</f>
        <v>21883286.984999999</v>
      </c>
      <c r="F27" s="16">
        <f t="shared" ref="F27:S27" si="12">E27*1.03</f>
        <v>22539785.594549999</v>
      </c>
      <c r="G27" s="16">
        <f t="shared" si="12"/>
        <v>23215979.162386499</v>
      </c>
      <c r="H27" s="16">
        <f t="shared" si="12"/>
        <v>23912458.537258096</v>
      </c>
      <c r="I27" s="16">
        <f t="shared" si="12"/>
        <v>24629832.293375839</v>
      </c>
      <c r="J27" s="16">
        <f t="shared" si="12"/>
        <v>25368727.262177113</v>
      </c>
      <c r="K27" s="16">
        <f t="shared" si="12"/>
        <v>26129789.080042429</v>
      </c>
      <c r="L27" s="16">
        <f t="shared" si="12"/>
        <v>26913682.752443701</v>
      </c>
      <c r="M27" s="16">
        <f t="shared" si="12"/>
        <v>27721093.235017013</v>
      </c>
      <c r="N27" s="16">
        <f t="shared" si="12"/>
        <v>28552726.032067522</v>
      </c>
      <c r="O27" s="16">
        <f t="shared" si="12"/>
        <v>29409307.81302955</v>
      </c>
      <c r="P27" s="16">
        <f t="shared" si="12"/>
        <v>30291587.047420438</v>
      </c>
      <c r="Q27" s="16">
        <f t="shared" si="12"/>
        <v>31200334.658843052</v>
      </c>
      <c r="R27" s="16">
        <f t="shared" si="12"/>
        <v>32136344.698608343</v>
      </c>
      <c r="S27" s="16">
        <f t="shared" si="12"/>
        <v>33100435.039566595</v>
      </c>
      <c r="T27" s="16">
        <f t="shared" ref="T27:U29" si="13">S27*1.03</f>
        <v>34093448.090753593</v>
      </c>
      <c r="U27" s="16">
        <f t="shared" si="13"/>
        <v>35116251.533476204</v>
      </c>
    </row>
    <row r="28" spans="1:23">
      <c r="A28" t="s">
        <v>31</v>
      </c>
      <c r="C28" s="16"/>
      <c r="D28" s="16"/>
      <c r="E28" s="16">
        <f>F28*0.6</f>
        <v>63135641.798711993</v>
      </c>
      <c r="F28" s="16">
        <f>93492000*(1.03)^4</f>
        <v>105226069.66452</v>
      </c>
      <c r="G28" s="16">
        <f t="shared" ref="G28:S29" si="14">F28*1.03</f>
        <v>108382851.7544556</v>
      </c>
      <c r="H28" s="16">
        <f t="shared" si="14"/>
        <v>111634337.30708927</v>
      </c>
      <c r="I28" s="16">
        <f t="shared" si="14"/>
        <v>114983367.42630196</v>
      </c>
      <c r="J28" s="16">
        <f t="shared" si="14"/>
        <v>118432868.44909102</v>
      </c>
      <c r="K28" s="16">
        <f t="shared" si="14"/>
        <v>121985854.50256374</v>
      </c>
      <c r="L28" s="16">
        <f t="shared" si="14"/>
        <v>125645430.13764066</v>
      </c>
      <c r="M28" s="16">
        <f t="shared" si="14"/>
        <v>129414793.04176988</v>
      </c>
      <c r="N28" s="16">
        <f t="shared" si="14"/>
        <v>133297236.83302298</v>
      </c>
      <c r="O28" s="16">
        <f t="shared" si="14"/>
        <v>137296153.93801367</v>
      </c>
      <c r="P28" s="16">
        <f t="shared" si="14"/>
        <v>141415038.55615407</v>
      </c>
      <c r="Q28" s="16">
        <f t="shared" si="14"/>
        <v>145657489.71283871</v>
      </c>
      <c r="R28" s="16">
        <f t="shared" si="14"/>
        <v>150027214.40422389</v>
      </c>
      <c r="S28" s="16">
        <f t="shared" si="14"/>
        <v>154528030.83635062</v>
      </c>
      <c r="T28" s="16">
        <f t="shared" si="13"/>
        <v>159163871.76144114</v>
      </c>
      <c r="U28" s="16">
        <f t="shared" si="13"/>
        <v>163938787.91428438</v>
      </c>
      <c r="W28" t="s">
        <v>47</v>
      </c>
    </row>
    <row r="29" spans="1:23">
      <c r="A29" t="s">
        <v>262</v>
      </c>
      <c r="C29" s="16"/>
      <c r="D29" s="16"/>
      <c r="E29" s="16">
        <v>30029188</v>
      </c>
      <c r="F29" s="16">
        <v>12281885</v>
      </c>
      <c r="G29" s="16">
        <f>F29*1.03</f>
        <v>12650341.550000001</v>
      </c>
      <c r="H29" s="16">
        <f t="shared" si="14"/>
        <v>13029851.796500001</v>
      </c>
      <c r="I29" s="16">
        <f t="shared" si="14"/>
        <v>13420747.350395001</v>
      </c>
      <c r="J29" s="16">
        <f t="shared" si="14"/>
        <v>13823369.770906853</v>
      </c>
      <c r="K29" s="16">
        <f t="shared" si="14"/>
        <v>14238070.864034059</v>
      </c>
      <c r="L29" s="16">
        <f t="shared" si="14"/>
        <v>14665212.989955081</v>
      </c>
      <c r="M29" s="16">
        <f t="shared" si="14"/>
        <v>15105169.379653733</v>
      </c>
      <c r="N29" s="16">
        <f t="shared" si="14"/>
        <v>15558324.461043345</v>
      </c>
      <c r="O29" s="16">
        <f t="shared" si="14"/>
        <v>16025074.194874646</v>
      </c>
      <c r="P29" s="16">
        <f t="shared" si="14"/>
        <v>16505826.420720886</v>
      </c>
      <c r="Q29" s="16">
        <f t="shared" si="14"/>
        <v>17001001.213342514</v>
      </c>
      <c r="R29" s="16">
        <f t="shared" si="14"/>
        <v>17511031.249742791</v>
      </c>
      <c r="S29" s="16">
        <f t="shared" si="14"/>
        <v>18036362.187235076</v>
      </c>
      <c r="T29" s="16">
        <f t="shared" si="13"/>
        <v>18577453.052852128</v>
      </c>
      <c r="U29" s="16">
        <f t="shared" si="13"/>
        <v>19134776.644437693</v>
      </c>
    </row>
    <row r="30" spans="1:23">
      <c r="C30" s="16"/>
      <c r="D30" s="16"/>
      <c r="E30" s="16"/>
      <c r="F30" s="16"/>
      <c r="G30" s="16"/>
      <c r="H30" s="16"/>
      <c r="I30" s="16"/>
      <c r="J30" s="16"/>
      <c r="K30" s="16"/>
      <c r="L30" s="16"/>
      <c r="M30" s="16"/>
      <c r="N30" s="16"/>
      <c r="O30" s="16"/>
      <c r="P30" s="16"/>
      <c r="Q30" s="16"/>
      <c r="R30" s="16"/>
      <c r="S30" s="16"/>
      <c r="T30" s="16"/>
      <c r="U30" s="16"/>
    </row>
    <row r="31" spans="1:23">
      <c r="A31" s="13" t="s">
        <v>32</v>
      </c>
      <c r="C31" s="16">
        <f t="shared" ref="C31:U31" si="15">SUM(C15:C19)+SUM(C25:C29)+C20</f>
        <v>612163624.14188015</v>
      </c>
      <c r="D31" s="16">
        <f>SUM(D15:D19)+SUM(D25:D29)+D20</f>
        <v>523222779.37828368</v>
      </c>
      <c r="E31" s="16">
        <f>SUM(E15:E19)+SUM(E25:E29)+E20</f>
        <v>506125952.67339915</v>
      </c>
      <c r="F31" s="16">
        <f t="shared" si="15"/>
        <v>476088176.52682734</v>
      </c>
      <c r="G31" s="16">
        <f t="shared" si="15"/>
        <v>479767051.10933626</v>
      </c>
      <c r="H31" s="16">
        <f t="shared" si="15"/>
        <v>483670435.53677833</v>
      </c>
      <c r="I31" s="16">
        <f t="shared" si="15"/>
        <v>487805044.47275764</v>
      </c>
      <c r="J31" s="16">
        <f t="shared" si="15"/>
        <v>492177793.60815132</v>
      </c>
      <c r="K31" s="16">
        <f t="shared" si="15"/>
        <v>496795805.68367535</v>
      </c>
      <c r="L31" s="16">
        <f t="shared" si="15"/>
        <v>501666416.69296187</v>
      </c>
      <c r="M31" s="16">
        <f t="shared" si="15"/>
        <v>344456679.48801374</v>
      </c>
      <c r="N31" s="16">
        <f t="shared" si="15"/>
        <v>349855381.49389148</v>
      </c>
      <c r="O31" s="16">
        <f t="shared" si="15"/>
        <v>355530034.78517175</v>
      </c>
      <c r="P31" s="16">
        <f t="shared" si="15"/>
        <v>361488894.20102823</v>
      </c>
      <c r="Q31" s="16">
        <f t="shared" si="15"/>
        <v>367740461.75182164</v>
      </c>
      <c r="R31" s="16">
        <f t="shared" si="15"/>
        <v>374293494.02475619</v>
      </c>
      <c r="S31" s="16">
        <f t="shared" si="15"/>
        <v>381157009.81151545</v>
      </c>
      <c r="T31" s="16">
        <f t="shared" si="15"/>
        <v>388340297.96453345</v>
      </c>
      <c r="U31" s="16">
        <f t="shared" si="15"/>
        <v>395852925.48875821</v>
      </c>
    </row>
    <row r="32" spans="1:23">
      <c r="C32" s="16"/>
      <c r="D32" s="16"/>
      <c r="E32" s="16"/>
      <c r="F32" s="16"/>
      <c r="G32" s="16"/>
      <c r="H32" s="16"/>
      <c r="I32" s="16"/>
      <c r="J32" s="16"/>
      <c r="K32" s="16"/>
      <c r="L32" s="16"/>
      <c r="M32" s="16"/>
      <c r="N32" s="16"/>
      <c r="O32" s="16"/>
      <c r="P32" s="16"/>
      <c r="Q32" s="16"/>
      <c r="R32" s="16"/>
      <c r="S32" s="16"/>
      <c r="T32" s="16"/>
      <c r="U32" s="16"/>
    </row>
    <row r="33" spans="1:21">
      <c r="A33" t="s">
        <v>33</v>
      </c>
      <c r="C33" s="16">
        <f t="shared" ref="C33:U33" si="16">C7-C31</f>
        <v>-612163624.14188015</v>
      </c>
      <c r="D33" s="16">
        <f t="shared" si="16"/>
        <v>-523222779.37828368</v>
      </c>
      <c r="E33" s="16">
        <f t="shared" si="16"/>
        <v>92612037.294200718</v>
      </c>
      <c r="F33" s="16">
        <f t="shared" si="16"/>
        <v>551671872.91755271</v>
      </c>
      <c r="G33" s="16">
        <f t="shared" si="16"/>
        <v>578825799.81837511</v>
      </c>
      <c r="H33" s="16">
        <f t="shared" si="16"/>
        <v>606680200.91876447</v>
      </c>
      <c r="I33" s="16">
        <f t="shared" si="16"/>
        <v>635256111.07645154</v>
      </c>
      <c r="J33" s="16">
        <f t="shared" si="16"/>
        <v>664575196.60753429</v>
      </c>
      <c r="K33" s="16">
        <f t="shared" si="16"/>
        <v>694659774.23848081</v>
      </c>
      <c r="L33" s="16">
        <f t="shared" si="16"/>
        <v>725532830.62685895</v>
      </c>
      <c r="M33" s="16">
        <f t="shared" si="16"/>
        <v>919558545.25140166</v>
      </c>
      <c r="N33" s="16">
        <f t="shared" si="16"/>
        <v>952080299.98770642</v>
      </c>
      <c r="O33" s="16">
        <f t="shared" si="16"/>
        <v>985463717.14087415</v>
      </c>
      <c r="P33" s="16">
        <f t="shared" si="16"/>
        <v>1019734670.2827989</v>
      </c>
      <c r="Q33" s="16">
        <f t="shared" si="16"/>
        <v>1054919809.6665205</v>
      </c>
      <c r="R33" s="16">
        <f t="shared" si="16"/>
        <v>1091046585.5361362</v>
      </c>
      <c r="S33" s="16">
        <f t="shared" si="16"/>
        <v>1128143272.1362038</v>
      </c>
      <c r="T33" s="16">
        <f t="shared" si="16"/>
        <v>1166238992.4416175</v>
      </c>
      <c r="U33" s="16">
        <f t="shared" si="16"/>
        <v>1205363743.6295772</v>
      </c>
    </row>
    <row r="34" spans="1:21">
      <c r="C34" s="16"/>
      <c r="D34" s="16"/>
      <c r="E34" s="16"/>
      <c r="F34" s="16"/>
      <c r="G34" s="16"/>
      <c r="H34" s="16"/>
      <c r="I34" s="16"/>
      <c r="J34" s="16"/>
      <c r="K34" s="16"/>
      <c r="L34" s="16"/>
      <c r="M34" s="16"/>
      <c r="N34" s="16"/>
      <c r="O34" s="16"/>
      <c r="P34" s="16"/>
      <c r="Q34" s="16"/>
      <c r="R34" s="16"/>
      <c r="S34" s="16"/>
      <c r="T34" s="16"/>
      <c r="U34" s="16"/>
    </row>
    <row r="35" spans="1:21">
      <c r="A35" t="s">
        <v>34</v>
      </c>
      <c r="C35" s="16">
        <f>IF(C33&gt;0,C33*0.4,0)</f>
        <v>0</v>
      </c>
      <c r="D35" s="16">
        <f t="shared" ref="D35:U35" si="17">IF(D33&gt;0,D33*0.4,0)</f>
        <v>0</v>
      </c>
      <c r="E35" s="16">
        <f t="shared" si="17"/>
        <v>37044814.917680286</v>
      </c>
      <c r="F35" s="16">
        <f t="shared" si="17"/>
        <v>220668749.1670211</v>
      </c>
      <c r="G35" s="16">
        <f t="shared" si="17"/>
        <v>231530319.92735004</v>
      </c>
      <c r="H35" s="16">
        <f t="shared" si="17"/>
        <v>242672080.36750579</v>
      </c>
      <c r="I35" s="16">
        <f t="shared" si="17"/>
        <v>254102444.43058062</v>
      </c>
      <c r="J35" s="16">
        <f t="shared" si="17"/>
        <v>265830078.64301372</v>
      </c>
      <c r="K35" s="16">
        <f t="shared" si="17"/>
        <v>277863909.69539231</v>
      </c>
      <c r="L35" s="16">
        <f t="shared" si="17"/>
        <v>290213132.25074357</v>
      </c>
      <c r="M35" s="16">
        <f t="shared" si="17"/>
        <v>367823418.10056067</v>
      </c>
      <c r="N35" s="16">
        <f t="shared" si="17"/>
        <v>380832119.99508262</v>
      </c>
      <c r="O35" s="16">
        <f t="shared" si="17"/>
        <v>394185486.85634971</v>
      </c>
      <c r="P35" s="16">
        <f t="shared" si="17"/>
        <v>407893868.1131196</v>
      </c>
      <c r="Q35" s="16">
        <f t="shared" si="17"/>
        <v>421967923.8666082</v>
      </c>
      <c r="R35" s="16">
        <f t="shared" si="17"/>
        <v>436418634.21445447</v>
      </c>
      <c r="S35" s="16">
        <f t="shared" si="17"/>
        <v>451257308.85448152</v>
      </c>
      <c r="T35" s="16">
        <f t="shared" si="17"/>
        <v>466495596.97664702</v>
      </c>
      <c r="U35" s="16">
        <f t="shared" si="17"/>
        <v>482145497.45183086</v>
      </c>
    </row>
    <row r="36" spans="1:21">
      <c r="C36" s="16"/>
      <c r="D36" s="16"/>
      <c r="E36" s="16"/>
      <c r="F36" s="16"/>
      <c r="G36" s="16"/>
      <c r="H36" s="16"/>
      <c r="I36" s="16"/>
      <c r="J36" s="16"/>
      <c r="K36" s="16"/>
      <c r="L36" s="16"/>
      <c r="M36" s="16"/>
      <c r="N36" s="16"/>
      <c r="O36" s="16"/>
      <c r="P36" s="16"/>
      <c r="Q36" s="16"/>
      <c r="R36" s="16"/>
      <c r="S36" s="16"/>
      <c r="T36" s="16"/>
      <c r="U36" s="16"/>
    </row>
    <row r="37" spans="1:21">
      <c r="A37" t="s">
        <v>35</v>
      </c>
      <c r="C37" s="16">
        <f t="shared" ref="C37:H37" si="18">C33-C35</f>
        <v>-612163624.14188015</v>
      </c>
      <c r="D37" s="16">
        <f t="shared" si="18"/>
        <v>-523222779.37828368</v>
      </c>
      <c r="E37" s="16">
        <f t="shared" si="18"/>
        <v>55567222.376520433</v>
      </c>
      <c r="F37" s="16">
        <f t="shared" si="18"/>
        <v>331003123.75053161</v>
      </c>
      <c r="G37" s="16">
        <f t="shared" si="18"/>
        <v>347295479.89102507</v>
      </c>
      <c r="H37" s="16">
        <f t="shared" si="18"/>
        <v>364008120.55125868</v>
      </c>
      <c r="I37" s="16">
        <f t="shared" ref="I37:S37" si="19">I33-I35</f>
        <v>381153666.64587092</v>
      </c>
      <c r="J37" s="16">
        <f t="shared" si="19"/>
        <v>398745117.96452057</v>
      </c>
      <c r="K37" s="16">
        <f t="shared" si="19"/>
        <v>416795864.5430885</v>
      </c>
      <c r="L37" s="16">
        <f t="shared" si="19"/>
        <v>435319698.37611538</v>
      </c>
      <c r="M37" s="16">
        <f t="shared" si="19"/>
        <v>551735127.150841</v>
      </c>
      <c r="N37" s="16">
        <f t="shared" si="19"/>
        <v>571248179.99262381</v>
      </c>
      <c r="O37" s="16">
        <f t="shared" si="19"/>
        <v>591278230.28452444</v>
      </c>
      <c r="P37" s="16">
        <f t="shared" si="19"/>
        <v>611840802.16967928</v>
      </c>
      <c r="Q37" s="16">
        <f t="shared" si="19"/>
        <v>632951885.79991221</v>
      </c>
      <c r="R37" s="16">
        <f t="shared" si="19"/>
        <v>654627951.32168174</v>
      </c>
      <c r="S37" s="16">
        <f t="shared" si="19"/>
        <v>676885963.28172231</v>
      </c>
      <c r="T37" s="16">
        <f>T33-T35</f>
        <v>699743395.46497047</v>
      </c>
      <c r="U37" s="16">
        <f>U33-U35</f>
        <v>723218246.1777463</v>
      </c>
    </row>
    <row r="38" spans="1:21">
      <c r="C38" s="16"/>
      <c r="D38" s="16"/>
      <c r="E38" s="16"/>
      <c r="F38" s="16"/>
      <c r="G38" s="16"/>
      <c r="H38" s="16"/>
      <c r="I38" s="16"/>
      <c r="J38" s="16"/>
      <c r="K38" s="16"/>
      <c r="L38" s="16"/>
      <c r="M38" s="16"/>
      <c r="N38" s="16"/>
      <c r="O38" s="16"/>
      <c r="P38" s="16"/>
      <c r="Q38" s="16"/>
      <c r="R38" s="16"/>
      <c r="S38" s="16"/>
      <c r="T38" s="16"/>
      <c r="U38" s="16"/>
    </row>
    <row r="39" spans="1:21">
      <c r="A39" t="s">
        <v>36</v>
      </c>
      <c r="C39" s="16">
        <f t="shared" ref="C39:U39" si="20">C25</f>
        <v>72944289.950000003</v>
      </c>
      <c r="D39" s="16">
        <f t="shared" si="20"/>
        <v>69105116.794736847</v>
      </c>
      <c r="E39" s="16">
        <f t="shared" si="20"/>
        <v>65265943.639473684</v>
      </c>
      <c r="F39" s="16">
        <f t="shared" si="20"/>
        <v>61426770.484210528</v>
      </c>
      <c r="G39" s="16">
        <f t="shared" si="20"/>
        <v>57587597.328947365</v>
      </c>
      <c r="H39" s="16">
        <f t="shared" si="20"/>
        <v>53748424.173684202</v>
      </c>
      <c r="I39" s="16">
        <f t="shared" si="20"/>
        <v>49909251.018421054</v>
      </c>
      <c r="J39" s="16">
        <f t="shared" si="20"/>
        <v>46070077.863157898</v>
      </c>
      <c r="K39" s="16">
        <f t="shared" si="20"/>
        <v>42230904.707894735</v>
      </c>
      <c r="L39" s="16">
        <f t="shared" si="20"/>
        <v>38391731.552631579</v>
      </c>
      <c r="M39" s="16">
        <f t="shared" si="20"/>
        <v>34552558.397368424</v>
      </c>
      <c r="N39" s="16">
        <f t="shared" si="20"/>
        <v>30713385.242105264</v>
      </c>
      <c r="O39" s="16">
        <f t="shared" si="20"/>
        <v>26874212.086842101</v>
      </c>
      <c r="P39" s="16">
        <f t="shared" si="20"/>
        <v>23035038.931578949</v>
      </c>
      <c r="Q39" s="16">
        <f t="shared" si="20"/>
        <v>19195865.77631579</v>
      </c>
      <c r="R39" s="16">
        <f t="shared" si="20"/>
        <v>15356692.621052632</v>
      </c>
      <c r="S39" s="16">
        <f t="shared" si="20"/>
        <v>11517519.465789475</v>
      </c>
      <c r="T39" s="16">
        <f t="shared" si="20"/>
        <v>7678346.3105263161</v>
      </c>
      <c r="U39" s="16">
        <f t="shared" si="20"/>
        <v>3839173.155263158</v>
      </c>
    </row>
    <row r="40" spans="1:21">
      <c r="C40" s="16"/>
      <c r="D40" s="16"/>
      <c r="E40" s="16"/>
      <c r="F40" s="16"/>
      <c r="G40" s="16"/>
      <c r="H40" s="16"/>
      <c r="I40" s="16"/>
      <c r="J40" s="16"/>
      <c r="K40" s="16"/>
      <c r="L40" s="16"/>
      <c r="M40" s="16"/>
      <c r="N40" s="16"/>
      <c r="O40" s="16"/>
      <c r="P40" s="16"/>
      <c r="Q40" s="16"/>
      <c r="R40" s="16"/>
      <c r="S40" s="16"/>
      <c r="T40" s="16"/>
      <c r="U40" s="16"/>
    </row>
    <row r="41" spans="1:21">
      <c r="A41" t="s">
        <v>250</v>
      </c>
      <c r="C41" s="16">
        <f t="shared" ref="C41:U41" si="21">C37+C39</f>
        <v>-539219334.19188011</v>
      </c>
      <c r="D41" s="16">
        <f t="shared" si="21"/>
        <v>-454117662.58354682</v>
      </c>
      <c r="E41" s="16">
        <f t="shared" si="21"/>
        <v>120833166.01599412</v>
      </c>
      <c r="F41" s="16">
        <f t="shared" si="21"/>
        <v>392429894.23474216</v>
      </c>
      <c r="G41" s="16">
        <f t="shared" si="21"/>
        <v>404883077.21997243</v>
      </c>
      <c r="H41" s="16">
        <f t="shared" si="21"/>
        <v>417756544.72494286</v>
      </c>
      <c r="I41" s="16">
        <f t="shared" si="21"/>
        <v>431062917.66429198</v>
      </c>
      <c r="J41" s="16">
        <f t="shared" si="21"/>
        <v>444815195.82767844</v>
      </c>
      <c r="K41" s="16">
        <f t="shared" si="21"/>
        <v>459026769.25098324</v>
      </c>
      <c r="L41" s="16">
        <f t="shared" si="21"/>
        <v>473711429.92874694</v>
      </c>
      <c r="M41" s="16">
        <f t="shared" si="21"/>
        <v>586287685.54820943</v>
      </c>
      <c r="N41" s="16">
        <f t="shared" si="21"/>
        <v>601961565.23472905</v>
      </c>
      <c r="O41" s="16">
        <f t="shared" si="21"/>
        <v>618152442.3713665</v>
      </c>
      <c r="P41" s="16">
        <f t="shared" si="21"/>
        <v>634875841.10125828</v>
      </c>
      <c r="Q41" s="16">
        <f t="shared" si="21"/>
        <v>652147751.57622802</v>
      </c>
      <c r="R41" s="16">
        <f t="shared" si="21"/>
        <v>669984643.94273436</v>
      </c>
      <c r="S41" s="16">
        <f t="shared" si="21"/>
        <v>688403482.74751174</v>
      </c>
      <c r="T41" s="16">
        <f t="shared" si="21"/>
        <v>707421741.77549684</v>
      </c>
      <c r="U41" s="16">
        <f t="shared" si="21"/>
        <v>727057419.33300948</v>
      </c>
    </row>
    <row r="42" spans="1:21">
      <c r="C42" s="16"/>
      <c r="D42" s="16"/>
      <c r="E42" s="16"/>
      <c r="F42" s="16"/>
      <c r="G42" s="16"/>
      <c r="H42" s="16"/>
      <c r="I42" s="16"/>
      <c r="J42" s="16"/>
      <c r="K42" s="16"/>
      <c r="L42" s="16"/>
      <c r="M42" s="16"/>
      <c r="N42" s="16"/>
      <c r="O42" s="16"/>
      <c r="P42" s="16"/>
      <c r="Q42" s="16"/>
      <c r="R42" s="16"/>
      <c r="S42" s="16"/>
      <c r="T42" s="16"/>
      <c r="U42" s="16"/>
    </row>
    <row r="43" spans="1:21">
      <c r="A43" t="s">
        <v>39</v>
      </c>
      <c r="B43" s="16">
        <f>-SUM(B17:B19)</f>
        <v>-145888579.90000001</v>
      </c>
      <c r="C43" s="16">
        <f>B43+C41</f>
        <v>-685107914.09188008</v>
      </c>
      <c r="D43" s="16">
        <f t="shared" ref="D43:S43" si="22">C43+D41</f>
        <v>-1139225576.675427</v>
      </c>
      <c r="E43" s="16">
        <f t="shared" si="22"/>
        <v>-1018392410.6594329</v>
      </c>
      <c r="F43" s="16">
        <f t="shared" si="22"/>
        <v>-625962516.42469072</v>
      </c>
      <c r="G43" s="16">
        <f t="shared" si="22"/>
        <v>-221079439.20471829</v>
      </c>
      <c r="H43" s="16">
        <f t="shared" si="22"/>
        <v>196677105.52022457</v>
      </c>
      <c r="I43" s="16">
        <f t="shared" si="22"/>
        <v>627740023.18451655</v>
      </c>
      <c r="J43" s="16">
        <f t="shared" si="22"/>
        <v>1072555219.012195</v>
      </c>
      <c r="K43" s="16">
        <f t="shared" si="22"/>
        <v>1531581988.2631783</v>
      </c>
      <c r="L43" s="16">
        <f t="shared" si="22"/>
        <v>2005293418.1919253</v>
      </c>
      <c r="M43" s="16">
        <f t="shared" si="22"/>
        <v>2591581103.7401347</v>
      </c>
      <c r="N43" s="16">
        <f t="shared" si="22"/>
        <v>3193542668.974864</v>
      </c>
      <c r="O43" s="16">
        <f t="shared" si="22"/>
        <v>3811695111.3462305</v>
      </c>
      <c r="P43" s="16">
        <f t="shared" si="22"/>
        <v>4446570952.4474888</v>
      </c>
      <c r="Q43" s="16">
        <f t="shared" si="22"/>
        <v>5098718704.0237169</v>
      </c>
      <c r="R43" s="16">
        <f t="shared" si="22"/>
        <v>5768703347.9664516</v>
      </c>
      <c r="S43" s="16">
        <f t="shared" si="22"/>
        <v>6457106830.7139635</v>
      </c>
      <c r="T43" s="16">
        <f>S43+T41</f>
        <v>7164528572.48946</v>
      </c>
      <c r="U43" s="16">
        <f>T43+U41</f>
        <v>7891585991.8224697</v>
      </c>
    </row>
    <row r="44" spans="1:21">
      <c r="B44" s="16"/>
      <c r="C44" s="16"/>
      <c r="D44" s="16"/>
      <c r="E44" s="16"/>
      <c r="F44" s="16"/>
      <c r="G44" s="16"/>
      <c r="H44" s="16"/>
      <c r="I44" s="16"/>
      <c r="J44" s="16"/>
      <c r="K44" s="16"/>
      <c r="L44" s="16"/>
      <c r="M44" s="16"/>
      <c r="N44" s="16"/>
      <c r="O44" s="16"/>
      <c r="P44" s="16"/>
      <c r="Q44" s="16"/>
      <c r="R44" s="16"/>
      <c r="S44" s="16"/>
      <c r="T44" s="16"/>
      <c r="U44" s="16"/>
    </row>
    <row r="45" spans="1:21">
      <c r="A45" t="s">
        <v>40</v>
      </c>
      <c r="B45" s="14">
        <f>NPV(B48,C41:S41)</f>
        <v>2496601998.0594506</v>
      </c>
      <c r="C45" s="14"/>
      <c r="D45" s="14"/>
      <c r="E45" s="14"/>
      <c r="F45" s="14"/>
      <c r="G45" s="14"/>
    </row>
    <row r="46" spans="1:21">
      <c r="A46" t="s">
        <v>41</v>
      </c>
      <c r="B46" s="15">
        <f>IRR(B43:S43,0.11)</f>
        <v>0.24087910353034259</v>
      </c>
      <c r="C46" s="15"/>
      <c r="D46" s="15"/>
      <c r="E46" s="15"/>
      <c r="F46" s="15"/>
      <c r="G46" s="15"/>
    </row>
    <row r="47" spans="1:21">
      <c r="B47" s="15"/>
    </row>
    <row r="48" spans="1:21">
      <c r="A48" t="s">
        <v>42</v>
      </c>
      <c r="B48" s="15">
        <v>0.08</v>
      </c>
    </row>
    <row r="49" spans="1:9">
      <c r="A49" t="s">
        <v>44</v>
      </c>
      <c r="B49" s="15">
        <v>0.03</v>
      </c>
    </row>
    <row r="51" spans="1:9">
      <c r="C51" s="16"/>
      <c r="D51" s="16"/>
      <c r="E51" s="16"/>
      <c r="F51" s="16"/>
      <c r="G51" s="16"/>
      <c r="H51" s="16"/>
      <c r="I51" s="16"/>
    </row>
  </sheetData>
  <phoneticPr fontId="8" type="noConversion"/>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dimension ref="A1:S176"/>
  <sheetViews>
    <sheetView topLeftCell="A118" workbookViewId="0">
      <selection activeCell="C142" sqref="C142"/>
    </sheetView>
  </sheetViews>
  <sheetFormatPr defaultRowHeight="15"/>
  <cols>
    <col min="1" max="1" width="20.28515625" customWidth="1"/>
    <col min="2" max="6" width="15" customWidth="1"/>
    <col min="7" max="9" width="13.85546875" customWidth="1"/>
    <col min="10" max="19" width="15.42578125" bestFit="1" customWidth="1"/>
  </cols>
  <sheetData>
    <row r="1" spans="1:6" ht="21">
      <c r="A1" s="17" t="s">
        <v>43</v>
      </c>
    </row>
    <row r="2" spans="1:6">
      <c r="C2" s="11"/>
    </row>
    <row r="3" spans="1:6" ht="15.75" thickBot="1">
      <c r="A3" s="71" t="s">
        <v>19</v>
      </c>
      <c r="B3" s="52">
        <v>0</v>
      </c>
      <c r="C3" s="52">
        <v>1</v>
      </c>
      <c r="D3" s="52">
        <v>2</v>
      </c>
      <c r="E3" s="52">
        <v>3</v>
      </c>
      <c r="F3" s="52">
        <v>4</v>
      </c>
    </row>
    <row r="4" spans="1:6" ht="15.75" thickTop="1">
      <c r="A4" s="65" t="s">
        <v>20</v>
      </c>
      <c r="B4" s="45">
        <v>418306084.39999998</v>
      </c>
      <c r="C4" s="45"/>
      <c r="D4" s="45"/>
      <c r="E4" s="45"/>
      <c r="F4" s="45"/>
    </row>
    <row r="5" spans="1:6">
      <c r="A5" s="46"/>
      <c r="B5" s="45"/>
      <c r="C5" s="45"/>
      <c r="D5" s="45"/>
      <c r="E5" s="45"/>
      <c r="F5" s="45"/>
    </row>
    <row r="6" spans="1:6">
      <c r="A6" s="66" t="s">
        <v>21</v>
      </c>
      <c r="B6" s="45"/>
      <c r="C6" s="45">
        <f>SUM(C7:C10)</f>
        <v>524370600</v>
      </c>
      <c r="D6" s="45">
        <f>SUM(D7:D10)</f>
        <v>550509318</v>
      </c>
      <c r="E6" s="45">
        <f>SUM(E7:E10)</f>
        <v>577952577.53999996</v>
      </c>
      <c r="F6" s="45">
        <f>SUM(F7:F10)</f>
        <v>606765533.86619997</v>
      </c>
    </row>
    <row r="7" spans="1:6" ht="30">
      <c r="A7" s="67" t="s">
        <v>239</v>
      </c>
      <c r="B7" s="45"/>
      <c r="C7" s="45">
        <f>831*1800</f>
        <v>1495800</v>
      </c>
      <c r="D7" s="45">
        <f t="shared" ref="D7:F8" si="0">C7*1.03</f>
        <v>1540674</v>
      </c>
      <c r="E7" s="45">
        <f t="shared" si="0"/>
        <v>1586894.22</v>
      </c>
      <c r="F7" s="45">
        <f t="shared" si="0"/>
        <v>1634501.0466</v>
      </c>
    </row>
    <row r="8" spans="1:6" ht="30">
      <c r="A8" s="67" t="s">
        <v>240</v>
      </c>
      <c r="B8" s="45"/>
      <c r="C8" s="45">
        <f>7560*330</f>
        <v>2494800</v>
      </c>
      <c r="D8" s="45">
        <f t="shared" si="0"/>
        <v>2569644</v>
      </c>
      <c r="E8" s="45">
        <f t="shared" si="0"/>
        <v>2646733.3200000003</v>
      </c>
      <c r="F8" s="45">
        <f t="shared" si="0"/>
        <v>2726135.3196000005</v>
      </c>
    </row>
    <row r="9" spans="1:6" ht="30">
      <c r="A9" s="68" t="s">
        <v>241</v>
      </c>
      <c r="B9" s="45"/>
      <c r="C9" s="45">
        <f>1050*495600</f>
        <v>520380000</v>
      </c>
      <c r="D9" s="45">
        <f>C9*1.05</f>
        <v>546399000</v>
      </c>
      <c r="E9" s="45">
        <f>D9*1.05</f>
        <v>573718950</v>
      </c>
      <c r="F9" s="45">
        <f>E9*1.05</f>
        <v>602404897.5</v>
      </c>
    </row>
    <row r="10" spans="1:6">
      <c r="A10" s="46" t="s">
        <v>238</v>
      </c>
      <c r="B10" s="45"/>
      <c r="C10" s="46"/>
      <c r="D10" s="46"/>
      <c r="E10" s="46"/>
      <c r="F10" s="46"/>
    </row>
    <row r="11" spans="1:6">
      <c r="A11" s="66" t="s">
        <v>22</v>
      </c>
      <c r="B11" s="46"/>
      <c r="C11" s="45"/>
      <c r="D11" s="45"/>
      <c r="E11" s="45"/>
      <c r="F11" s="45"/>
    </row>
    <row r="12" spans="1:6">
      <c r="A12" s="46" t="s">
        <v>24</v>
      </c>
      <c r="B12" s="46"/>
      <c r="C12" s="45">
        <v>69309553.769999996</v>
      </c>
      <c r="D12" s="45">
        <v>69309553.769999996</v>
      </c>
      <c r="E12" s="45">
        <v>69309553.769999996</v>
      </c>
      <c r="F12" s="45">
        <v>69309553.769999996</v>
      </c>
    </row>
    <row r="13" spans="1:6">
      <c r="A13" s="46"/>
      <c r="B13" s="46"/>
      <c r="C13" s="45"/>
      <c r="D13" s="45"/>
      <c r="E13" s="45"/>
      <c r="F13" s="45"/>
    </row>
    <row r="14" spans="1:6">
      <c r="A14" s="69" t="s">
        <v>23</v>
      </c>
      <c r="B14" s="46"/>
      <c r="C14" s="46"/>
      <c r="D14" s="47"/>
      <c r="E14" s="45"/>
      <c r="F14" s="45"/>
    </row>
    <row r="15" spans="1:6">
      <c r="A15" s="46" t="s">
        <v>25</v>
      </c>
      <c r="B15" s="46"/>
      <c r="C15" s="48">
        <v>16000000</v>
      </c>
      <c r="D15" s="45">
        <f t="shared" ref="D15:F17" si="1">C15*1.03</f>
        <v>16480000</v>
      </c>
      <c r="E15" s="45">
        <f t="shared" si="1"/>
        <v>16974400</v>
      </c>
      <c r="F15" s="45">
        <f t="shared" si="1"/>
        <v>17483632</v>
      </c>
    </row>
    <row r="16" spans="1:6">
      <c r="A16" s="46" t="s">
        <v>26</v>
      </c>
      <c r="B16" s="46"/>
      <c r="C16" s="45">
        <v>35000000</v>
      </c>
      <c r="D16" s="45">
        <f t="shared" si="1"/>
        <v>36050000</v>
      </c>
      <c r="E16" s="45">
        <f t="shared" si="1"/>
        <v>37131500</v>
      </c>
      <c r="F16" s="45">
        <f t="shared" si="1"/>
        <v>38245445</v>
      </c>
    </row>
    <row r="17" spans="1:6">
      <c r="A17" s="46" t="s">
        <v>27</v>
      </c>
      <c r="B17" s="46"/>
      <c r="C17" s="45">
        <v>38000000</v>
      </c>
      <c r="D17" s="45">
        <f t="shared" si="1"/>
        <v>39140000</v>
      </c>
      <c r="E17" s="45">
        <f t="shared" si="1"/>
        <v>40314200</v>
      </c>
      <c r="F17" s="45">
        <f t="shared" si="1"/>
        <v>41523626</v>
      </c>
    </row>
    <row r="18" spans="1:6">
      <c r="A18" s="46"/>
      <c r="B18" s="46"/>
      <c r="C18" s="45"/>
      <c r="D18" s="45"/>
      <c r="E18" s="45"/>
      <c r="F18" s="45"/>
    </row>
    <row r="19" spans="1:6" ht="30">
      <c r="A19" s="68" t="s">
        <v>237</v>
      </c>
      <c r="B19" s="46"/>
      <c r="C19" s="45">
        <f>$B$4*(17/153)</f>
        <v>46478453.822222218</v>
      </c>
      <c r="D19" s="45">
        <f>$B$4*((18-D3)/153)</f>
        <v>43744427.126797386</v>
      </c>
      <c r="E19" s="45">
        <f>$B$4*((18-E3)/153)</f>
        <v>41010400.431372546</v>
      </c>
      <c r="F19" s="45">
        <f>$B$4*((18-F3)/153)</f>
        <v>38276373.735947706</v>
      </c>
    </row>
    <row r="20" spans="1:6">
      <c r="A20" s="46" t="s">
        <v>28</v>
      </c>
      <c r="B20" s="46"/>
      <c r="C20" s="49">
        <v>1943200</v>
      </c>
      <c r="D20" s="45">
        <f>C20*1.03</f>
        <v>2001496</v>
      </c>
      <c r="E20" s="45">
        <f>D20*1.03</f>
        <v>2061540.8800000001</v>
      </c>
      <c r="F20" s="45">
        <f>E20*1.03</f>
        <v>2123387.1064000004</v>
      </c>
    </row>
    <row r="21" spans="1:6">
      <c r="A21" s="46"/>
      <c r="B21" s="46"/>
      <c r="C21" s="45"/>
      <c r="D21" s="45"/>
      <c r="E21" s="45"/>
      <c r="F21" s="45"/>
    </row>
    <row r="22" spans="1:6">
      <c r="A22" s="46" t="s">
        <v>29</v>
      </c>
      <c r="B22" s="46"/>
      <c r="C22" s="45"/>
      <c r="D22" s="45"/>
      <c r="E22" s="45"/>
      <c r="F22" s="45"/>
    </row>
    <row r="23" spans="1:6">
      <c r="A23" s="46" t="s">
        <v>30</v>
      </c>
      <c r="B23" s="46"/>
      <c r="C23" s="45">
        <f>$B$4*0.03</f>
        <v>12549182.532</v>
      </c>
      <c r="D23" s="45">
        <f>C23*1.03</f>
        <v>12925658.007959999</v>
      </c>
      <c r="E23" s="45">
        <f>D23*1.03</f>
        <v>13313427.7481988</v>
      </c>
      <c r="F23" s="45">
        <f>E23*1.03</f>
        <v>13712830.580644764</v>
      </c>
    </row>
    <row r="24" spans="1:6">
      <c r="A24" s="46"/>
      <c r="B24" s="46"/>
      <c r="C24" s="45"/>
      <c r="D24" s="45"/>
      <c r="E24" s="45"/>
      <c r="F24" s="45"/>
    </row>
    <row r="25" spans="1:6">
      <c r="A25" s="46" t="s">
        <v>31</v>
      </c>
      <c r="B25" s="46"/>
      <c r="C25" s="45">
        <f>955500*150</f>
        <v>143325000</v>
      </c>
      <c r="D25" s="45">
        <f>C25*1.03</f>
        <v>147624750</v>
      </c>
      <c r="E25" s="45">
        <f>D25*1.03</f>
        <v>152053492.5</v>
      </c>
      <c r="F25" s="45">
        <f>E25*1.03</f>
        <v>156615097.27500001</v>
      </c>
    </row>
    <row r="26" spans="1:6">
      <c r="A26" s="46"/>
      <c r="B26" s="46"/>
      <c r="C26" s="45"/>
      <c r="D26" s="45"/>
      <c r="E26" s="45"/>
      <c r="F26" s="45"/>
    </row>
    <row r="27" spans="1:6">
      <c r="A27" s="69" t="s">
        <v>32</v>
      </c>
      <c r="B27" s="46"/>
      <c r="C27" s="45">
        <f>SUM(C12:C25)</f>
        <v>362605390.12422222</v>
      </c>
      <c r="D27" s="45">
        <f>SUM(D12:D25)</f>
        <v>367275884.90475738</v>
      </c>
      <c r="E27" s="45">
        <f>SUM(E12:E25)</f>
        <v>372168515.32957137</v>
      </c>
      <c r="F27" s="45">
        <f>SUM(F12:F25)</f>
        <v>377289945.46799242</v>
      </c>
    </row>
    <row r="28" spans="1:6">
      <c r="A28" s="46"/>
      <c r="B28" s="46"/>
      <c r="C28" s="45"/>
      <c r="D28" s="45"/>
      <c r="E28" s="45"/>
      <c r="F28" s="45"/>
    </row>
    <row r="29" spans="1:6">
      <c r="A29" s="46" t="s">
        <v>33</v>
      </c>
      <c r="B29" s="46"/>
      <c r="C29" s="45">
        <f>C6-C27</f>
        <v>161765209.87577778</v>
      </c>
      <c r="D29" s="45">
        <f>D6-D27</f>
        <v>183233433.09524262</v>
      </c>
      <c r="E29" s="45">
        <f>E6-E27</f>
        <v>205784062.2104286</v>
      </c>
      <c r="F29" s="45">
        <f>F6-F27</f>
        <v>229475588.39820755</v>
      </c>
    </row>
    <row r="30" spans="1:6">
      <c r="A30" s="46"/>
      <c r="B30" s="46"/>
      <c r="C30" s="45"/>
      <c r="D30" s="45"/>
      <c r="E30" s="45"/>
      <c r="F30" s="45"/>
    </row>
    <row r="31" spans="1:6">
      <c r="A31" s="46" t="s">
        <v>34</v>
      </c>
      <c r="B31" s="46"/>
      <c r="C31" s="45">
        <f>C29*0.4</f>
        <v>64706083.950311117</v>
      </c>
      <c r="D31" s="45">
        <f>D29*0.4</f>
        <v>73293373.238097057</v>
      </c>
      <c r="E31" s="45">
        <f>E29*0.4</f>
        <v>82313624.884171441</v>
      </c>
      <c r="F31" s="45">
        <f>F29*0.4</f>
        <v>91790235.35928303</v>
      </c>
    </row>
    <row r="32" spans="1:6">
      <c r="A32" s="46"/>
      <c r="B32" s="46"/>
      <c r="C32" s="45"/>
      <c r="D32" s="45"/>
      <c r="E32" s="45"/>
      <c r="F32" s="45"/>
    </row>
    <row r="33" spans="1:19">
      <c r="A33" s="46" t="s">
        <v>35</v>
      </c>
      <c r="B33" s="46"/>
      <c r="C33" s="45">
        <f>C29-C31</f>
        <v>97059125.925466657</v>
      </c>
      <c r="D33" s="45">
        <f>D29-D31</f>
        <v>109940059.85714556</v>
      </c>
      <c r="E33" s="45">
        <f>E29-E31</f>
        <v>123470437.32625715</v>
      </c>
      <c r="F33" s="45">
        <f>F29-F31</f>
        <v>137685353.03892452</v>
      </c>
    </row>
    <row r="34" spans="1:19">
      <c r="A34" s="46"/>
      <c r="B34" s="46"/>
      <c r="C34" s="45"/>
      <c r="D34" s="45"/>
      <c r="E34" s="45"/>
      <c r="F34" s="45"/>
    </row>
    <row r="35" spans="1:19">
      <c r="A35" s="46" t="s">
        <v>36</v>
      </c>
      <c r="B35" s="46"/>
      <c r="C35" s="45">
        <f>C19</f>
        <v>46478453.822222218</v>
      </c>
      <c r="D35" s="45">
        <f>D19</f>
        <v>43744427.126797386</v>
      </c>
      <c r="E35" s="45">
        <f>E19</f>
        <v>41010400.431372546</v>
      </c>
      <c r="F35" s="45">
        <f>F19</f>
        <v>38276373.735947706</v>
      </c>
    </row>
    <row r="36" spans="1:19">
      <c r="A36" s="46"/>
      <c r="B36" s="46"/>
      <c r="C36" s="45"/>
      <c r="D36" s="45"/>
      <c r="E36" s="45"/>
      <c r="F36" s="45"/>
    </row>
    <row r="37" spans="1:19">
      <c r="A37" s="46" t="s">
        <v>37</v>
      </c>
      <c r="B37" s="46"/>
      <c r="C37" s="45"/>
      <c r="D37" s="45"/>
      <c r="E37" s="45"/>
      <c r="F37" s="45"/>
    </row>
    <row r="38" spans="1:19">
      <c r="A38" s="46" t="s">
        <v>38</v>
      </c>
      <c r="B38" s="46"/>
      <c r="C38" s="45">
        <f>C33+C35</f>
        <v>143537579.74768889</v>
      </c>
      <c r="D38" s="45">
        <f>D33+D35</f>
        <v>153684486.98394296</v>
      </c>
      <c r="E38" s="45">
        <f>E33+E35</f>
        <v>164480837.75762969</v>
      </c>
      <c r="F38" s="45">
        <f>F33+F35</f>
        <v>175961726.77487221</v>
      </c>
    </row>
    <row r="39" spans="1:19">
      <c r="A39" s="46"/>
      <c r="B39" s="46"/>
      <c r="C39" s="45"/>
      <c r="D39" s="45"/>
      <c r="E39" s="45"/>
      <c r="F39" s="45"/>
    </row>
    <row r="40" spans="1:19">
      <c r="A40" s="51" t="s">
        <v>39</v>
      </c>
      <c r="B40" s="64">
        <f>-B4</f>
        <v>-418306084.39999998</v>
      </c>
      <c r="C40" s="64">
        <f>B40+C38</f>
        <v>-274768504.65231109</v>
      </c>
      <c r="D40" s="64">
        <f>C40+D38</f>
        <v>-121084017.66836813</v>
      </c>
      <c r="E40" s="64">
        <f>D40+E38</f>
        <v>43396820.089261562</v>
      </c>
      <c r="F40" s="64">
        <f>E40+F38</f>
        <v>219358546.86413378</v>
      </c>
    </row>
    <row r="41" spans="1:19">
      <c r="B41" s="45"/>
      <c r="C41" s="59"/>
      <c r="D41" s="60"/>
      <c r="E41" s="60"/>
      <c r="F41" s="60"/>
      <c r="G41" s="60"/>
      <c r="H41" s="60"/>
      <c r="I41" s="60"/>
      <c r="J41" s="60"/>
      <c r="K41" s="60"/>
      <c r="L41" s="60"/>
      <c r="M41" s="16"/>
      <c r="N41" s="16"/>
      <c r="O41" s="16"/>
      <c r="P41" s="16"/>
      <c r="Q41" s="16"/>
      <c r="R41" s="16"/>
      <c r="S41" s="16"/>
    </row>
    <row r="42" spans="1:19">
      <c r="A42" s="53" t="s">
        <v>40</v>
      </c>
      <c r="B42" s="54">
        <f>NPV(B45,C38:S38)</f>
        <v>524572157.37370181</v>
      </c>
      <c r="C42" s="61"/>
      <c r="D42" s="62"/>
      <c r="E42" s="62"/>
      <c r="F42" s="62"/>
      <c r="G42" s="62"/>
      <c r="H42" s="57"/>
      <c r="I42" s="57"/>
      <c r="J42" s="57"/>
      <c r="K42" s="57"/>
      <c r="L42" s="57"/>
    </row>
    <row r="43" spans="1:19">
      <c r="A43" s="55" t="s">
        <v>41</v>
      </c>
      <c r="B43" s="50">
        <f>IRR(B40:S40,0.11)</f>
        <v>-0.30389961658319342</v>
      </c>
      <c r="C43" s="63"/>
      <c r="D43" s="58"/>
      <c r="E43" s="58"/>
      <c r="F43" s="58"/>
      <c r="G43" s="58"/>
      <c r="H43" s="57"/>
      <c r="I43" s="57"/>
      <c r="J43" s="57"/>
      <c r="K43" s="57"/>
      <c r="L43" s="57"/>
    </row>
    <row r="44" spans="1:19">
      <c r="A44" s="57"/>
      <c r="B44" s="58"/>
      <c r="C44" s="57"/>
      <c r="D44" s="57"/>
      <c r="E44" s="57"/>
      <c r="F44" s="57"/>
      <c r="G44" s="57"/>
      <c r="H44" s="57"/>
      <c r="I44" s="57"/>
      <c r="J44" s="57"/>
      <c r="K44" s="57"/>
      <c r="L44" s="57"/>
    </row>
    <row r="45" spans="1:19">
      <c r="A45" s="57" t="s">
        <v>42</v>
      </c>
      <c r="B45" s="58">
        <v>0.08</v>
      </c>
      <c r="C45" s="57"/>
      <c r="D45" s="57"/>
      <c r="E45" s="57"/>
      <c r="F45" s="57"/>
      <c r="G45" s="57"/>
      <c r="H45" s="57"/>
      <c r="I45" s="57"/>
      <c r="J45" s="57"/>
      <c r="K45" s="57"/>
      <c r="L45" s="57"/>
    </row>
    <row r="46" spans="1:19">
      <c r="A46" s="57" t="s">
        <v>44</v>
      </c>
      <c r="B46" s="58">
        <v>0.03</v>
      </c>
      <c r="C46" s="57"/>
      <c r="D46" s="57"/>
      <c r="E46" s="57"/>
      <c r="F46" s="57"/>
      <c r="G46" s="57"/>
      <c r="H46" s="57"/>
      <c r="I46" s="57"/>
      <c r="J46" s="57"/>
      <c r="K46" s="57"/>
      <c r="L46" s="57"/>
    </row>
    <row r="47" spans="1:19" ht="15.75" thickBot="1">
      <c r="A47" s="71" t="s">
        <v>19</v>
      </c>
      <c r="B47" s="52">
        <v>5</v>
      </c>
      <c r="C47" s="52">
        <v>6</v>
      </c>
      <c r="D47" s="52">
        <v>7</v>
      </c>
      <c r="E47" s="72">
        <v>8</v>
      </c>
      <c r="F47" s="72">
        <v>9</v>
      </c>
    </row>
    <row r="48" spans="1:19" ht="15.75" thickTop="1">
      <c r="A48" s="65" t="s">
        <v>20</v>
      </c>
      <c r="B48" s="45"/>
      <c r="C48" s="45"/>
      <c r="D48" s="45"/>
      <c r="E48" s="45"/>
      <c r="F48" s="45"/>
    </row>
    <row r="49" spans="1:6">
      <c r="A49" s="46"/>
      <c r="B49" s="45"/>
      <c r="C49" s="45"/>
      <c r="D49" s="45"/>
      <c r="E49" s="45"/>
      <c r="F49" s="45"/>
    </row>
    <row r="50" spans="1:6">
      <c r="A50" s="66" t="s">
        <v>21</v>
      </c>
      <c r="B50" s="45">
        <f>SUM(B51:B54)</f>
        <v>637016597.83218598</v>
      </c>
      <c r="C50" s="45">
        <f>SUM(C51:C54)</f>
        <v>668777598.61465156</v>
      </c>
      <c r="D50" s="45">
        <f>SUM(D51:D54)</f>
        <v>702123954.56296623</v>
      </c>
      <c r="E50" s="45">
        <f>SUM(E51:E54)</f>
        <v>737134852.58922398</v>
      </c>
      <c r="F50" s="45">
        <f>SUM(F51:F54)</f>
        <v>773893436.525738</v>
      </c>
    </row>
    <row r="51" spans="1:6" ht="30">
      <c r="A51" s="67" t="s">
        <v>239</v>
      </c>
      <c r="B51" s="45">
        <f>F7*1.03</f>
        <v>1683536.077998</v>
      </c>
      <c r="C51" s="45">
        <f t="shared" ref="C51:F52" si="2">B51*1.03</f>
        <v>1734042.1603379401</v>
      </c>
      <c r="D51" s="45">
        <f t="shared" si="2"/>
        <v>1786063.4251480782</v>
      </c>
      <c r="E51" s="45">
        <f t="shared" si="2"/>
        <v>1839645.3279025205</v>
      </c>
      <c r="F51" s="45">
        <f t="shared" si="2"/>
        <v>1894834.6877395962</v>
      </c>
    </row>
    <row r="52" spans="1:6" ht="30">
      <c r="A52" s="67" t="s">
        <v>240</v>
      </c>
      <c r="B52" s="45">
        <f>F8*1.03</f>
        <v>2807919.3791880007</v>
      </c>
      <c r="C52" s="45">
        <f t="shared" si="2"/>
        <v>2892156.9605636406</v>
      </c>
      <c r="D52" s="45">
        <f t="shared" si="2"/>
        <v>2978921.6693805498</v>
      </c>
      <c r="E52" s="45">
        <f t="shared" si="2"/>
        <v>3068289.3194619664</v>
      </c>
      <c r="F52" s="45">
        <f t="shared" si="2"/>
        <v>3160337.9990458256</v>
      </c>
    </row>
    <row r="53" spans="1:6" ht="30">
      <c r="A53" s="68" t="s">
        <v>241</v>
      </c>
      <c r="B53" s="45">
        <f>F9*1.05</f>
        <v>632525142.375</v>
      </c>
      <c r="C53" s="45">
        <f>B53*1.05</f>
        <v>664151399.49374998</v>
      </c>
      <c r="D53" s="45">
        <f>C53*1.05</f>
        <v>697358969.46843755</v>
      </c>
      <c r="E53" s="45">
        <f>D53*1.05</f>
        <v>732226917.94185948</v>
      </c>
      <c r="F53" s="45">
        <f>E53*1.05</f>
        <v>768838263.83895254</v>
      </c>
    </row>
    <row r="54" spans="1:6">
      <c r="A54" s="46" t="s">
        <v>238</v>
      </c>
      <c r="B54" s="46"/>
      <c r="C54" s="46"/>
      <c r="D54" s="46"/>
      <c r="E54" s="46"/>
      <c r="F54" s="46"/>
    </row>
    <row r="55" spans="1:6">
      <c r="A55" s="66" t="s">
        <v>22</v>
      </c>
      <c r="B55" s="45"/>
      <c r="C55" s="45"/>
      <c r="D55" s="45"/>
      <c r="E55" s="45"/>
      <c r="F55" s="45"/>
    </row>
    <row r="56" spans="1:6">
      <c r="A56" s="46" t="s">
        <v>24</v>
      </c>
      <c r="B56" s="45">
        <v>69309553.769999996</v>
      </c>
      <c r="C56" s="45">
        <v>69309553.769999996</v>
      </c>
      <c r="D56" s="45">
        <v>69309553.769999996</v>
      </c>
      <c r="E56" s="45">
        <v>69309553.769999996</v>
      </c>
      <c r="F56" s="45">
        <v>69309553.769999996</v>
      </c>
    </row>
    <row r="57" spans="1:6">
      <c r="A57" s="46"/>
      <c r="B57" s="45"/>
      <c r="C57" s="45"/>
      <c r="D57" s="45"/>
      <c r="E57" s="45"/>
      <c r="F57" s="45"/>
    </row>
    <row r="58" spans="1:6">
      <c r="A58" s="69" t="s">
        <v>23</v>
      </c>
      <c r="B58" s="45"/>
      <c r="C58" s="45"/>
      <c r="D58" s="45"/>
      <c r="E58" s="45"/>
      <c r="F58" s="45"/>
    </row>
    <row r="59" spans="1:6">
      <c r="A59" s="46" t="s">
        <v>25</v>
      </c>
      <c r="B59" s="45">
        <f>F15*1.03</f>
        <v>18008140.960000001</v>
      </c>
      <c r="C59" s="45">
        <f t="shared" ref="C59:F61" si="3">B59*1.03</f>
        <v>18548385.1888</v>
      </c>
      <c r="D59" s="45">
        <f t="shared" si="3"/>
        <v>19104836.744463999</v>
      </c>
      <c r="E59" s="45">
        <f t="shared" si="3"/>
        <v>19677981.846797921</v>
      </c>
      <c r="F59" s="45">
        <f t="shared" si="3"/>
        <v>20268321.30220186</v>
      </c>
    </row>
    <row r="60" spans="1:6">
      <c r="A60" s="46" t="s">
        <v>26</v>
      </c>
      <c r="B60" s="45">
        <f>F16*1.03</f>
        <v>39392808.350000001</v>
      </c>
      <c r="C60" s="45">
        <f t="shared" si="3"/>
        <v>40574592.600500003</v>
      </c>
      <c r="D60" s="45">
        <f t="shared" si="3"/>
        <v>41791830.378515005</v>
      </c>
      <c r="E60" s="45">
        <f t="shared" si="3"/>
        <v>43045585.289870456</v>
      </c>
      <c r="F60" s="45">
        <f t="shared" si="3"/>
        <v>44336952.848566569</v>
      </c>
    </row>
    <row r="61" spans="1:6">
      <c r="A61" s="46" t="s">
        <v>27</v>
      </c>
      <c r="B61" s="45">
        <f>F17*1.03</f>
        <v>42769334.780000001</v>
      </c>
      <c r="C61" s="45">
        <f t="shared" si="3"/>
        <v>44052414.823400006</v>
      </c>
      <c r="D61" s="45">
        <f t="shared" si="3"/>
        <v>45373987.268102005</v>
      </c>
      <c r="E61" s="45">
        <f t="shared" si="3"/>
        <v>46735206.88614507</v>
      </c>
      <c r="F61" s="45">
        <f t="shared" si="3"/>
        <v>48137263.092729427</v>
      </c>
    </row>
    <row r="62" spans="1:6">
      <c r="A62" s="46"/>
      <c r="B62" s="45"/>
      <c r="C62" s="45"/>
      <c r="D62" s="45"/>
      <c r="E62" s="45"/>
      <c r="F62" s="45"/>
    </row>
    <row r="63" spans="1:6" ht="30">
      <c r="A63" s="68" t="s">
        <v>237</v>
      </c>
      <c r="B63" s="45">
        <f>$B$4*((18-B47)/153)</f>
        <v>35542347.040522873</v>
      </c>
      <c r="C63" s="45">
        <f>$B$4*((18-C47)/153)</f>
        <v>32808320.345098037</v>
      </c>
      <c r="D63" s="45">
        <f>$B$4*((18-D47)/153)</f>
        <v>30074293.649673197</v>
      </c>
      <c r="E63" s="45">
        <f>$B$4*((18-E47)/153)</f>
        <v>27340266.954248365</v>
      </c>
      <c r="F63" s="45">
        <f>$B$4*((18-F47)/153)</f>
        <v>24606240.258823529</v>
      </c>
    </row>
    <row r="64" spans="1:6">
      <c r="A64" s="46" t="s">
        <v>28</v>
      </c>
      <c r="B64" s="45">
        <f>F20*1.03</f>
        <v>2187088.7195920004</v>
      </c>
      <c r="C64" s="45">
        <f>B64*1.03</f>
        <v>2252701.3811797602</v>
      </c>
      <c r="D64" s="45">
        <f>C64*1.03</f>
        <v>2320282.4226151532</v>
      </c>
      <c r="E64" s="45">
        <f>D64*1.03</f>
        <v>2389890.8952936078</v>
      </c>
      <c r="F64" s="45">
        <f>E64*1.03</f>
        <v>2461587.622152416</v>
      </c>
    </row>
    <row r="65" spans="1:6">
      <c r="A65" s="46"/>
      <c r="B65" s="45"/>
      <c r="C65" s="45"/>
      <c r="D65" s="45"/>
      <c r="E65" s="45"/>
      <c r="F65" s="45"/>
    </row>
    <row r="66" spans="1:6">
      <c r="A66" s="46" t="s">
        <v>29</v>
      </c>
      <c r="B66" s="45"/>
      <c r="C66" s="45"/>
      <c r="D66" s="45"/>
      <c r="E66" s="45"/>
      <c r="F66" s="45"/>
    </row>
    <row r="67" spans="1:6">
      <c r="A67" s="46" t="s">
        <v>30</v>
      </c>
      <c r="B67" s="45">
        <f>F23*1.03</f>
        <v>14124215.498064108</v>
      </c>
      <c r="C67" s="45">
        <f>B67*1.03</f>
        <v>14547941.963006033</v>
      </c>
      <c r="D67" s="45">
        <f>C67*1.03</f>
        <v>14984380.221896214</v>
      </c>
      <c r="E67" s="45">
        <f>D67*1.03</f>
        <v>15433911.628553102</v>
      </c>
      <c r="F67" s="45">
        <f>E67*1.03</f>
        <v>15896928.977409694</v>
      </c>
    </row>
    <row r="68" spans="1:6">
      <c r="A68" s="46"/>
      <c r="B68" s="45"/>
      <c r="C68" s="45"/>
      <c r="D68" s="45"/>
      <c r="E68" s="45"/>
      <c r="F68" s="45"/>
    </row>
    <row r="69" spans="1:6">
      <c r="A69" s="46" t="s">
        <v>31</v>
      </c>
      <c r="B69" s="45">
        <f>F25*1.03</f>
        <v>161313550.19325</v>
      </c>
      <c r="C69" s="45">
        <f>B69*1.03</f>
        <v>166152956.69904751</v>
      </c>
      <c r="D69" s="45">
        <f>C69*1.03</f>
        <v>171137545.40001893</v>
      </c>
      <c r="E69" s="45">
        <f>D69*1.03</f>
        <v>176271671.76201952</v>
      </c>
      <c r="F69" s="45">
        <f>E69*1.03</f>
        <v>181559821.9148801</v>
      </c>
    </row>
    <row r="70" spans="1:6">
      <c r="A70" s="46"/>
      <c r="B70" s="45"/>
      <c r="C70" s="45"/>
      <c r="D70" s="45"/>
      <c r="E70" s="45"/>
      <c r="F70" s="45"/>
    </row>
    <row r="71" spans="1:6">
      <c r="A71" s="69" t="s">
        <v>32</v>
      </c>
      <c r="B71" s="45">
        <f>SUM(B56:B69)</f>
        <v>382647039.31142896</v>
      </c>
      <c r="C71" s="45">
        <f>SUM(C56:C69)</f>
        <v>388246866.77103132</v>
      </c>
      <c r="D71" s="45">
        <f>SUM(D56:D69)</f>
        <v>394096709.85528445</v>
      </c>
      <c r="E71" s="45">
        <f>SUM(E56:E69)</f>
        <v>400204069.03292799</v>
      </c>
      <c r="F71" s="45">
        <f>SUM(F56:F69)</f>
        <v>406576669.78676355</v>
      </c>
    </row>
    <row r="72" spans="1:6">
      <c r="A72" s="46"/>
      <c r="B72" s="45"/>
      <c r="C72" s="45"/>
      <c r="D72" s="45"/>
      <c r="E72" s="45"/>
      <c r="F72" s="45"/>
    </row>
    <row r="73" spans="1:6">
      <c r="A73" s="46" t="s">
        <v>33</v>
      </c>
      <c r="B73" s="45">
        <f>B50-B71</f>
        <v>254369558.52075702</v>
      </c>
      <c r="C73" s="45">
        <f>C50-C71</f>
        <v>280530731.84362024</v>
      </c>
      <c r="D73" s="45">
        <f>D50-D71</f>
        <v>308027244.70768178</v>
      </c>
      <c r="E73" s="45">
        <f>E50-E71</f>
        <v>336930783.55629599</v>
      </c>
      <c r="F73" s="45">
        <f>F50-F71</f>
        <v>367316766.73897445</v>
      </c>
    </row>
    <row r="74" spans="1:6">
      <c r="A74" s="46"/>
      <c r="B74" s="45"/>
      <c r="C74" s="45"/>
      <c r="D74" s="45"/>
      <c r="E74" s="45"/>
      <c r="F74" s="45"/>
    </row>
    <row r="75" spans="1:6">
      <c r="A75" s="46" t="s">
        <v>34</v>
      </c>
      <c r="B75" s="45">
        <f>B73*0.4</f>
        <v>101747823.40830281</v>
      </c>
      <c r="C75" s="45">
        <f>C73*0.4</f>
        <v>112212292.7374481</v>
      </c>
      <c r="D75" s="45">
        <f>D73*0.4</f>
        <v>123210897.88307272</v>
      </c>
      <c r="E75" s="45">
        <f>E73*0.4</f>
        <v>134772313.4225184</v>
      </c>
      <c r="F75" s="45">
        <f>F73*0.4</f>
        <v>146926706.69558978</v>
      </c>
    </row>
    <row r="76" spans="1:6">
      <c r="A76" s="46"/>
      <c r="B76" s="45"/>
      <c r="C76" s="45"/>
      <c r="D76" s="45"/>
      <c r="E76" s="45"/>
      <c r="F76" s="45"/>
    </row>
    <row r="77" spans="1:6">
      <c r="A77" s="46" t="s">
        <v>35</v>
      </c>
      <c r="B77" s="45">
        <f>B73-B75</f>
        <v>152621735.11245421</v>
      </c>
      <c r="C77" s="45">
        <f>C73-C75</f>
        <v>168318439.10617214</v>
      </c>
      <c r="D77" s="45">
        <f>D73-D75</f>
        <v>184816346.82460904</v>
      </c>
      <c r="E77" s="45">
        <f>E73-E75</f>
        <v>202158470.13377759</v>
      </c>
      <c r="F77" s="45">
        <f>F73-F75</f>
        <v>220390060.04338467</v>
      </c>
    </row>
    <row r="78" spans="1:6">
      <c r="A78" s="46"/>
      <c r="B78" s="45"/>
      <c r="C78" s="45"/>
      <c r="D78" s="45"/>
      <c r="E78" s="45"/>
      <c r="F78" s="45"/>
    </row>
    <row r="79" spans="1:6">
      <c r="A79" s="46" t="s">
        <v>36</v>
      </c>
      <c r="B79" s="45">
        <f>B63</f>
        <v>35542347.040522873</v>
      </c>
      <c r="C79" s="45">
        <f>C63</f>
        <v>32808320.345098037</v>
      </c>
      <c r="D79" s="45">
        <f>D63</f>
        <v>30074293.649673197</v>
      </c>
      <c r="E79" s="45">
        <f>E63</f>
        <v>27340266.954248365</v>
      </c>
      <c r="F79" s="45">
        <f>F63</f>
        <v>24606240.258823529</v>
      </c>
    </row>
    <row r="80" spans="1:6">
      <c r="A80" s="46"/>
      <c r="B80" s="45"/>
      <c r="C80" s="45"/>
      <c r="D80" s="45"/>
      <c r="E80" s="45"/>
      <c r="F80" s="45"/>
    </row>
    <row r="81" spans="1:6">
      <c r="A81" s="46" t="s">
        <v>37</v>
      </c>
      <c r="B81" s="45"/>
      <c r="C81" s="45"/>
      <c r="D81" s="45"/>
      <c r="E81" s="45"/>
      <c r="F81" s="45"/>
    </row>
    <row r="82" spans="1:6">
      <c r="A82" s="46" t="s">
        <v>38</v>
      </c>
      <c r="B82" s="45">
        <f>B77+B79</f>
        <v>188164082.15297708</v>
      </c>
      <c r="C82" s="45">
        <f>C77+C79</f>
        <v>201126759.45127019</v>
      </c>
      <c r="D82" s="45">
        <f>D77+D79</f>
        <v>214890640.47428223</v>
      </c>
      <c r="E82" s="45">
        <f>E77+E79</f>
        <v>229498737.08802596</v>
      </c>
      <c r="F82" s="45">
        <f>F77+F79</f>
        <v>244996300.30220819</v>
      </c>
    </row>
    <row r="83" spans="1:6">
      <c r="A83" s="46"/>
      <c r="B83" s="45"/>
      <c r="C83" s="45"/>
      <c r="D83" s="45"/>
      <c r="E83" s="45"/>
      <c r="F83" s="45"/>
    </row>
    <row r="84" spans="1:6">
      <c r="A84" s="51" t="s">
        <v>39</v>
      </c>
      <c r="B84" s="64">
        <f>F40+B82</f>
        <v>407522629.01711082</v>
      </c>
      <c r="C84" s="64">
        <f>B84+C82</f>
        <v>608649388.46838105</v>
      </c>
      <c r="D84" s="64">
        <f>C84+D82</f>
        <v>823540028.94266331</v>
      </c>
      <c r="E84" s="64">
        <f>D84+E82</f>
        <v>1053038766.0306892</v>
      </c>
      <c r="F84" s="64">
        <f>E84+F82</f>
        <v>1298035066.3328974</v>
      </c>
    </row>
    <row r="85" spans="1:6">
      <c r="A85" s="56"/>
      <c r="B85" s="57"/>
      <c r="C85" s="57"/>
      <c r="D85" s="57"/>
      <c r="E85" s="57"/>
      <c r="F85" s="70"/>
    </row>
    <row r="86" spans="1:6">
      <c r="A86" s="56"/>
      <c r="B86" s="57"/>
      <c r="C86" s="57"/>
      <c r="D86" s="57"/>
      <c r="E86" s="57"/>
      <c r="F86" s="70"/>
    </row>
    <row r="87" spans="1:6">
      <c r="A87" s="56"/>
      <c r="B87" s="57"/>
      <c r="C87" s="57"/>
      <c r="D87" s="57"/>
      <c r="E87" s="57"/>
      <c r="F87" s="70"/>
    </row>
    <row r="88" spans="1:6">
      <c r="A88" s="56"/>
      <c r="B88" s="57"/>
      <c r="C88" s="57"/>
      <c r="D88" s="57"/>
      <c r="E88" s="57"/>
      <c r="F88" s="70"/>
    </row>
    <row r="89" spans="1:6">
      <c r="A89" s="56"/>
      <c r="B89" s="57"/>
      <c r="C89" s="57"/>
      <c r="D89" s="57"/>
      <c r="E89" s="57"/>
      <c r="F89" s="70"/>
    </row>
    <row r="90" spans="1:6">
      <c r="A90" s="56"/>
      <c r="B90" s="57"/>
      <c r="C90" s="57"/>
      <c r="D90" s="57"/>
      <c r="E90" s="57"/>
      <c r="F90" s="70"/>
    </row>
    <row r="91" spans="1:6">
      <c r="A91" s="56"/>
      <c r="B91" s="57"/>
      <c r="C91" s="57"/>
      <c r="D91" s="57"/>
      <c r="E91" s="57"/>
      <c r="F91" s="70"/>
    </row>
    <row r="92" spans="1:6">
      <c r="A92" s="56"/>
      <c r="B92" s="57"/>
      <c r="C92" s="57"/>
      <c r="D92" s="57"/>
      <c r="E92" s="57"/>
      <c r="F92" s="70"/>
    </row>
    <row r="93" spans="1:6" ht="15.75" thickBot="1">
      <c r="A93" s="71" t="s">
        <v>19</v>
      </c>
      <c r="B93" s="72">
        <v>10</v>
      </c>
      <c r="C93" s="72">
        <v>11</v>
      </c>
      <c r="D93" s="72">
        <v>12</v>
      </c>
      <c r="E93" s="72">
        <v>13</v>
      </c>
      <c r="F93" s="72">
        <v>14</v>
      </c>
    </row>
    <row r="94" spans="1:6" ht="15.75" thickTop="1">
      <c r="A94" s="65" t="s">
        <v>20</v>
      </c>
      <c r="B94" s="45"/>
      <c r="C94" s="45"/>
      <c r="D94" s="45"/>
      <c r="E94" s="45"/>
      <c r="F94" s="45"/>
    </row>
    <row r="95" spans="1:6">
      <c r="A95" s="46"/>
      <c r="B95" s="45"/>
      <c r="C95" s="45"/>
      <c r="D95" s="45"/>
      <c r="E95" s="45"/>
      <c r="F95" s="45"/>
    </row>
    <row r="96" spans="1:6">
      <c r="A96" s="66" t="s">
        <v>21</v>
      </c>
      <c r="B96" s="45">
        <f>SUM(B97:B100)</f>
        <v>812487004.8982892</v>
      </c>
      <c r="C96" s="45">
        <f>SUM(C97:C100)</f>
        <v>853007218.58585596</v>
      </c>
      <c r="D96" s="45">
        <f>SUM(D97:D100)</f>
        <v>895550318.86108065</v>
      </c>
      <c r="E96" s="45">
        <f>SUM(E97:E100)</f>
        <v>940217356.33044446</v>
      </c>
      <c r="F96" s="45">
        <f>SUM(F97:F100)</f>
        <v>987114431.31906569</v>
      </c>
    </row>
    <row r="97" spans="1:6" ht="30">
      <c r="A97" s="67" t="s">
        <v>239</v>
      </c>
      <c r="B97" s="45">
        <f>F51*1.03</f>
        <v>1951679.7283717841</v>
      </c>
      <c r="C97" s="45">
        <f t="shared" ref="C97:F98" si="4">B97*1.03</f>
        <v>2010230.1202229378</v>
      </c>
      <c r="D97" s="45">
        <f t="shared" si="4"/>
        <v>2070537.0238296259</v>
      </c>
      <c r="E97" s="45">
        <f t="shared" si="4"/>
        <v>2132653.1345445146</v>
      </c>
      <c r="F97" s="45">
        <f t="shared" si="4"/>
        <v>2196632.7285808502</v>
      </c>
    </row>
    <row r="98" spans="1:6" ht="30">
      <c r="A98" s="67" t="s">
        <v>240</v>
      </c>
      <c r="B98" s="45">
        <f>F52*1.03</f>
        <v>3255148.1390172006</v>
      </c>
      <c r="C98" s="45">
        <f t="shared" si="4"/>
        <v>3352802.5831877165</v>
      </c>
      <c r="D98" s="45">
        <f t="shared" si="4"/>
        <v>3453386.6606833483</v>
      </c>
      <c r="E98" s="45">
        <f t="shared" si="4"/>
        <v>3556988.260503849</v>
      </c>
      <c r="F98" s="45">
        <f t="shared" si="4"/>
        <v>3663697.9083189648</v>
      </c>
    </row>
    <row r="99" spans="1:6" ht="30">
      <c r="A99" s="68" t="s">
        <v>241</v>
      </c>
      <c r="B99" s="45">
        <f>F53*1.05</f>
        <v>807280177.03090024</v>
      </c>
      <c r="C99" s="45">
        <f>B99*1.05</f>
        <v>847644185.88244534</v>
      </c>
      <c r="D99" s="45">
        <f>C99*1.05</f>
        <v>890026395.17656767</v>
      </c>
      <c r="E99" s="45">
        <f>D99*1.05</f>
        <v>934527714.93539608</v>
      </c>
      <c r="F99" s="45">
        <f>E99*1.05</f>
        <v>981254100.68216586</v>
      </c>
    </row>
    <row r="100" spans="1:6">
      <c r="A100" s="46" t="s">
        <v>238</v>
      </c>
      <c r="B100" s="46"/>
      <c r="C100" s="46"/>
      <c r="D100" s="46"/>
      <c r="E100" s="46"/>
      <c r="F100" s="46"/>
    </row>
    <row r="101" spans="1:6">
      <c r="A101" s="66" t="s">
        <v>22</v>
      </c>
      <c r="B101" s="45"/>
      <c r="C101" s="45"/>
      <c r="D101" s="45"/>
      <c r="E101" s="45"/>
      <c r="F101" s="45"/>
    </row>
    <row r="102" spans="1:6">
      <c r="A102" s="46" t="s">
        <v>24</v>
      </c>
      <c r="B102" s="45">
        <v>69309553.769999996</v>
      </c>
      <c r="C102" s="45">
        <v>0</v>
      </c>
      <c r="D102" s="45">
        <v>0</v>
      </c>
      <c r="E102" s="45">
        <v>0</v>
      </c>
      <c r="F102" s="45">
        <v>0</v>
      </c>
    </row>
    <row r="103" spans="1:6">
      <c r="A103" s="46"/>
      <c r="B103" s="45"/>
      <c r="C103" s="45"/>
      <c r="D103" s="45"/>
      <c r="E103" s="45"/>
      <c r="F103" s="45"/>
    </row>
    <row r="104" spans="1:6">
      <c r="A104" s="69" t="s">
        <v>23</v>
      </c>
      <c r="B104" s="45"/>
      <c r="C104" s="45"/>
      <c r="D104" s="45"/>
      <c r="E104" s="45"/>
      <c r="F104" s="45"/>
    </row>
    <row r="105" spans="1:6">
      <c r="A105" s="46" t="s">
        <v>25</v>
      </c>
      <c r="B105" s="45">
        <f>F59*1.03</f>
        <v>20876370.941267915</v>
      </c>
      <c r="C105" s="45">
        <f t="shared" ref="C105:F107" si="5">B105*1.03</f>
        <v>21502662.069505952</v>
      </c>
      <c r="D105" s="45">
        <f t="shared" si="5"/>
        <v>22147741.931591131</v>
      </c>
      <c r="E105" s="45">
        <f t="shared" si="5"/>
        <v>22812174.189538866</v>
      </c>
      <c r="F105" s="45">
        <f t="shared" si="5"/>
        <v>23496539.415225033</v>
      </c>
    </row>
    <row r="106" spans="1:6">
      <c r="A106" s="46" t="s">
        <v>26</v>
      </c>
      <c r="B106" s="45">
        <f>F60*1.03</f>
        <v>45667061.434023567</v>
      </c>
      <c r="C106" s="45">
        <f t="shared" si="5"/>
        <v>47037073.277044274</v>
      </c>
      <c r="D106" s="45">
        <f t="shared" si="5"/>
        <v>48448185.475355603</v>
      </c>
      <c r="E106" s="45">
        <f t="shared" si="5"/>
        <v>49901631.039616272</v>
      </c>
      <c r="F106" s="45">
        <f t="shared" si="5"/>
        <v>51398679.970804758</v>
      </c>
    </row>
    <row r="107" spans="1:6">
      <c r="A107" s="46" t="s">
        <v>27</v>
      </c>
      <c r="B107" s="45">
        <f>F61*1.03</f>
        <v>49581380.98551131</v>
      </c>
      <c r="C107" s="45">
        <f t="shared" si="5"/>
        <v>51068822.415076651</v>
      </c>
      <c r="D107" s="45">
        <f t="shared" si="5"/>
        <v>52600887.087528951</v>
      </c>
      <c r="E107" s="45">
        <f t="shared" si="5"/>
        <v>54178913.700154819</v>
      </c>
      <c r="F107" s="45">
        <f t="shared" si="5"/>
        <v>55804281.111159466</v>
      </c>
    </row>
    <row r="108" spans="1:6">
      <c r="A108" s="46"/>
      <c r="B108" s="45"/>
      <c r="C108" s="45"/>
      <c r="D108" s="45"/>
      <c r="E108" s="45"/>
      <c r="F108" s="45"/>
    </row>
    <row r="109" spans="1:6" ht="30">
      <c r="A109" s="68" t="s">
        <v>237</v>
      </c>
      <c r="B109" s="45">
        <f>$B$4*((18-B93)/153)</f>
        <v>21872213.563398693</v>
      </c>
      <c r="C109" s="45">
        <f>$B$4*((18-C93)/153)</f>
        <v>19138186.867973853</v>
      </c>
      <c r="D109" s="45">
        <f>$B$4*((18-D93)/153)</f>
        <v>16404160.172549019</v>
      </c>
      <c r="E109" s="45">
        <f>$B$4*((18-E93)/153)</f>
        <v>13670133.477124183</v>
      </c>
      <c r="F109" s="45">
        <f>$B$4*((18-F93)/153)</f>
        <v>10936106.781699346</v>
      </c>
    </row>
    <row r="110" spans="1:6">
      <c r="A110" s="46" t="s">
        <v>28</v>
      </c>
      <c r="B110" s="45">
        <f>F64*1.03</f>
        <v>2535435.2508169888</v>
      </c>
      <c r="C110" s="45">
        <f>B110*1.03</f>
        <v>2611498.3083414985</v>
      </c>
      <c r="D110" s="45">
        <f>C110*1.03</f>
        <v>2689843.2575917435</v>
      </c>
      <c r="E110" s="45">
        <f>D110*1.03</f>
        <v>2770538.555319496</v>
      </c>
      <c r="F110" s="45">
        <f>E110*1.03</f>
        <v>2853654.7119790809</v>
      </c>
    </row>
    <row r="111" spans="1:6">
      <c r="A111" s="46"/>
      <c r="B111" s="45"/>
      <c r="C111" s="45"/>
      <c r="D111" s="45"/>
      <c r="E111" s="45"/>
      <c r="F111" s="45"/>
    </row>
    <row r="112" spans="1:6">
      <c r="A112" s="46" t="s">
        <v>29</v>
      </c>
      <c r="B112" s="45"/>
      <c r="C112" s="45"/>
      <c r="D112" s="45"/>
      <c r="E112" s="45"/>
      <c r="F112" s="45"/>
    </row>
    <row r="113" spans="1:6">
      <c r="A113" s="46" t="s">
        <v>30</v>
      </c>
      <c r="B113" s="45">
        <f>F67*1.03</f>
        <v>16373836.846731985</v>
      </c>
      <c r="C113" s="45">
        <f>B113*1.03</f>
        <v>16865051.952133946</v>
      </c>
      <c r="D113" s="45">
        <f>C113*1.03</f>
        <v>17371003.510697965</v>
      </c>
      <c r="E113" s="45">
        <f>D113*1.03</f>
        <v>17892133.616018903</v>
      </c>
      <c r="F113" s="45">
        <f>E113*1.03</f>
        <v>18428897.62449947</v>
      </c>
    </row>
    <row r="114" spans="1:6">
      <c r="A114" s="46"/>
      <c r="B114" s="45"/>
      <c r="C114" s="45"/>
      <c r="D114" s="45"/>
      <c r="E114" s="45"/>
      <c r="F114" s="45"/>
    </row>
    <row r="115" spans="1:6">
      <c r="A115" s="46" t="s">
        <v>31</v>
      </c>
      <c r="B115" s="45">
        <f>F69*1.03</f>
        <v>187006616.57232651</v>
      </c>
      <c r="C115" s="45">
        <f>B115*1.03</f>
        <v>192616815.0694963</v>
      </c>
      <c r="D115" s="45">
        <f>C115*1.03</f>
        <v>198395319.5215812</v>
      </c>
      <c r="E115" s="45">
        <f>D115*1.03</f>
        <v>204347179.10722864</v>
      </c>
      <c r="F115" s="45">
        <f>E115*1.03</f>
        <v>210477594.4804455</v>
      </c>
    </row>
    <row r="116" spans="1:6">
      <c r="A116" s="46"/>
      <c r="B116" s="45"/>
      <c r="C116" s="45"/>
      <c r="D116" s="45"/>
      <c r="E116" s="45"/>
      <c r="F116" s="45"/>
    </row>
    <row r="117" spans="1:6">
      <c r="A117" s="69" t="s">
        <v>32</v>
      </c>
      <c r="B117" s="45">
        <f>SUM(B102:B115)</f>
        <v>413222469.36407697</v>
      </c>
      <c r="C117" s="45">
        <f>SUM(C102:C115)</f>
        <v>350840109.95957249</v>
      </c>
      <c r="D117" s="45">
        <f>SUM(D102:D115)</f>
        <v>358057140.95689559</v>
      </c>
      <c r="E117" s="45">
        <f>SUM(E102:E115)</f>
        <v>365572703.68500113</v>
      </c>
      <c r="F117" s="45">
        <f>SUM(F102:F115)</f>
        <v>373395754.09581268</v>
      </c>
    </row>
    <row r="118" spans="1:6">
      <c r="A118" s="46"/>
      <c r="B118" s="45"/>
      <c r="C118" s="45"/>
      <c r="D118" s="45"/>
      <c r="E118" s="45"/>
      <c r="F118" s="45"/>
    </row>
    <row r="119" spans="1:6">
      <c r="A119" s="46" t="s">
        <v>33</v>
      </c>
      <c r="B119" s="45">
        <f>B96-B117</f>
        <v>399264535.53421223</v>
      </c>
      <c r="C119" s="45">
        <f>C96-C117</f>
        <v>502167108.62628347</v>
      </c>
      <c r="D119" s="45">
        <f>D96-D117</f>
        <v>537493177.90418506</v>
      </c>
      <c r="E119" s="45">
        <f>E96-E117</f>
        <v>574644652.64544332</v>
      </c>
      <c r="F119" s="45">
        <f>F96-F117</f>
        <v>613718677.22325301</v>
      </c>
    </row>
    <row r="120" spans="1:6">
      <c r="A120" s="46"/>
      <c r="B120" s="45"/>
      <c r="C120" s="45"/>
      <c r="D120" s="45"/>
      <c r="E120" s="45"/>
      <c r="F120" s="45"/>
    </row>
    <row r="121" spans="1:6">
      <c r="A121" s="46" t="s">
        <v>34</v>
      </c>
      <c r="B121" s="45">
        <f>B119*0.4</f>
        <v>159705814.21368489</v>
      </c>
      <c r="C121" s="45">
        <f>C119*0.4</f>
        <v>200866843.45051339</v>
      </c>
      <c r="D121" s="45">
        <f>D119*0.4</f>
        <v>214997271.16167402</v>
      </c>
      <c r="E121" s="45">
        <f>E119*0.4</f>
        <v>229857861.05817735</v>
      </c>
      <c r="F121" s="45">
        <f>F119*0.4</f>
        <v>245487470.88930121</v>
      </c>
    </row>
    <row r="122" spans="1:6">
      <c r="A122" s="46"/>
      <c r="B122" s="45"/>
      <c r="C122" s="45"/>
      <c r="D122" s="45"/>
      <c r="E122" s="45"/>
      <c r="F122" s="45"/>
    </row>
    <row r="123" spans="1:6">
      <c r="A123" s="46" t="s">
        <v>35</v>
      </c>
      <c r="B123" s="45">
        <f>B119-B121</f>
        <v>239558721.32052734</v>
      </c>
      <c r="C123" s="45">
        <f>C119-C121</f>
        <v>301300265.17577004</v>
      </c>
      <c r="D123" s="45">
        <f>D119-D121</f>
        <v>322495906.74251103</v>
      </c>
      <c r="E123" s="45">
        <f>E119-E121</f>
        <v>344786791.58726597</v>
      </c>
      <c r="F123" s="45">
        <f>F119-F121</f>
        <v>368231206.33395183</v>
      </c>
    </row>
    <row r="124" spans="1:6">
      <c r="A124" s="46"/>
      <c r="B124" s="45"/>
      <c r="C124" s="45"/>
      <c r="D124" s="45"/>
      <c r="E124" s="45"/>
      <c r="F124" s="45"/>
    </row>
    <row r="125" spans="1:6">
      <c r="A125" s="46" t="s">
        <v>36</v>
      </c>
      <c r="B125" s="45">
        <f>B109</f>
        <v>21872213.563398693</v>
      </c>
      <c r="C125" s="45">
        <f>C109</f>
        <v>19138186.867973853</v>
      </c>
      <c r="D125" s="45">
        <f>D109</f>
        <v>16404160.172549019</v>
      </c>
      <c r="E125" s="45">
        <f>E109</f>
        <v>13670133.477124183</v>
      </c>
      <c r="F125" s="45">
        <f>F109</f>
        <v>10936106.781699346</v>
      </c>
    </row>
    <row r="126" spans="1:6">
      <c r="A126" s="46"/>
      <c r="B126" s="45"/>
      <c r="C126" s="45"/>
      <c r="D126" s="45"/>
      <c r="E126" s="45"/>
      <c r="F126" s="45"/>
    </row>
    <row r="127" spans="1:6">
      <c r="A127" s="46" t="s">
        <v>37</v>
      </c>
      <c r="B127" s="45"/>
      <c r="C127" s="45"/>
      <c r="D127" s="45"/>
      <c r="E127" s="45"/>
      <c r="F127" s="45"/>
    </row>
    <row r="128" spans="1:6">
      <c r="A128" s="46" t="s">
        <v>38</v>
      </c>
      <c r="B128" s="45">
        <f>B123+B125</f>
        <v>261430934.88392603</v>
      </c>
      <c r="C128" s="45">
        <f>C123+C125</f>
        <v>320438452.04374391</v>
      </c>
      <c r="D128" s="45">
        <f>D123+D125</f>
        <v>338900066.91506004</v>
      </c>
      <c r="E128" s="45">
        <f>E123+E125</f>
        <v>358456925.06439012</v>
      </c>
      <c r="F128" s="45">
        <f>F123+F125</f>
        <v>379167313.11565119</v>
      </c>
    </row>
    <row r="129" spans="1:6">
      <c r="A129" s="46"/>
      <c r="B129" s="45"/>
      <c r="C129" s="45"/>
      <c r="D129" s="45"/>
      <c r="E129" s="45"/>
      <c r="F129" s="45"/>
    </row>
    <row r="130" spans="1:6">
      <c r="A130" s="51" t="s">
        <v>39</v>
      </c>
      <c r="B130" s="64">
        <f>F84+B128</f>
        <v>1559466001.2168236</v>
      </c>
      <c r="C130" s="64">
        <f>B130+C128</f>
        <v>1879904453.2605674</v>
      </c>
      <c r="D130" s="64">
        <f>C130+D128</f>
        <v>2218804520.1756277</v>
      </c>
      <c r="E130" s="64">
        <f>D130+E128</f>
        <v>2577261445.2400179</v>
      </c>
      <c r="F130" s="64">
        <f>E130+F128</f>
        <v>2956428758.355669</v>
      </c>
    </row>
    <row r="139" spans="1:6" ht="15.75" thickBot="1">
      <c r="A139" s="71" t="s">
        <v>19</v>
      </c>
      <c r="B139" s="72">
        <v>15</v>
      </c>
      <c r="C139" s="72">
        <v>16</v>
      </c>
      <c r="D139" s="72">
        <v>17</v>
      </c>
    </row>
    <row r="140" spans="1:6" ht="15.75" thickTop="1">
      <c r="A140" s="65" t="s">
        <v>20</v>
      </c>
      <c r="B140" s="45"/>
      <c r="C140" s="45"/>
      <c r="D140" s="45"/>
    </row>
    <row r="141" spans="1:6">
      <c r="A141" s="46"/>
      <c r="B141" s="45"/>
      <c r="C141" s="45"/>
      <c r="D141" s="45"/>
    </row>
    <row r="142" spans="1:6">
      <c r="A142" s="66" t="s">
        <v>21</v>
      </c>
      <c r="B142" s="45">
        <f>SUM(B143:B146)</f>
        <v>1036352946.2722809</v>
      </c>
      <c r="C142" s="45">
        <f>SUM(C143:C146)</f>
        <v>1088049870.7747748</v>
      </c>
      <c r="D142" s="45">
        <f>SUM(D143:D146)</f>
        <v>1142328019.8180599</v>
      </c>
    </row>
    <row r="143" spans="1:6" ht="30">
      <c r="A143" s="67" t="s">
        <v>239</v>
      </c>
      <c r="B143" s="45">
        <f>F97*1.03</f>
        <v>2262531.7104382757</v>
      </c>
      <c r="C143" s="45">
        <f>B143*1.03</f>
        <v>2330407.661751424</v>
      </c>
      <c r="D143" s="45">
        <f>C143*1.03</f>
        <v>2400319.8916039667</v>
      </c>
    </row>
    <row r="144" spans="1:6" ht="30">
      <c r="A144" s="67" t="s">
        <v>240</v>
      </c>
      <c r="B144" s="45">
        <f>F98*1.03</f>
        <v>3773608.845568534</v>
      </c>
      <c r="C144" s="45">
        <f>B144*1.03</f>
        <v>3886817.1109355902</v>
      </c>
      <c r="D144" s="45">
        <f>C144*1.03</f>
        <v>4003421.6242636582</v>
      </c>
    </row>
    <row r="145" spans="1:4" ht="30">
      <c r="A145" s="68" t="s">
        <v>241</v>
      </c>
      <c r="B145" s="45">
        <f>F99*1.05</f>
        <v>1030316805.7162741</v>
      </c>
      <c r="C145" s="45">
        <f>B145*1.05</f>
        <v>1081832646.0020878</v>
      </c>
      <c r="D145" s="45">
        <f>C145*1.05</f>
        <v>1135924278.3021922</v>
      </c>
    </row>
    <row r="146" spans="1:4">
      <c r="A146" s="46" t="s">
        <v>238</v>
      </c>
      <c r="B146" s="46"/>
      <c r="C146" s="46"/>
      <c r="D146" s="46"/>
    </row>
    <row r="147" spans="1:4">
      <c r="A147" s="66" t="s">
        <v>22</v>
      </c>
      <c r="B147" s="45"/>
      <c r="C147" s="45"/>
      <c r="D147" s="45"/>
    </row>
    <row r="148" spans="1:4">
      <c r="A148" s="46" t="s">
        <v>24</v>
      </c>
      <c r="B148" s="45">
        <v>0</v>
      </c>
      <c r="C148" s="45">
        <v>0</v>
      </c>
      <c r="D148" s="45">
        <v>0</v>
      </c>
    </row>
    <row r="149" spans="1:4">
      <c r="A149" s="46"/>
      <c r="B149" s="45"/>
      <c r="C149" s="45"/>
      <c r="D149" s="45"/>
    </row>
    <row r="150" spans="1:4">
      <c r="A150" s="69" t="s">
        <v>23</v>
      </c>
      <c r="B150" s="45"/>
      <c r="C150" s="45"/>
      <c r="D150" s="45"/>
    </row>
    <row r="151" spans="1:4">
      <c r="A151" s="46" t="s">
        <v>25</v>
      </c>
      <c r="B151" s="45">
        <f>F105*1.03</f>
        <v>24201435.597681783</v>
      </c>
      <c r="C151" s="45">
        <f t="shared" ref="C151:D153" si="6">B151*1.03</f>
        <v>24927478.665612236</v>
      </c>
      <c r="D151" s="45">
        <f t="shared" si="6"/>
        <v>25675303.025580604</v>
      </c>
    </row>
    <row r="152" spans="1:4">
      <c r="A152" s="46" t="s">
        <v>26</v>
      </c>
      <c r="B152" s="45">
        <f>F106*1.03</f>
        <v>52940640.369928904</v>
      </c>
      <c r="C152" s="45">
        <f t="shared" si="6"/>
        <v>54528859.58102677</v>
      </c>
      <c r="D152" s="45">
        <f t="shared" si="6"/>
        <v>56164725.368457578</v>
      </c>
    </row>
    <row r="153" spans="1:4">
      <c r="A153" s="46" t="s">
        <v>27</v>
      </c>
      <c r="B153" s="45">
        <f>F107*1.03</f>
        <v>57478409.544494249</v>
      </c>
      <c r="C153" s="45">
        <f t="shared" si="6"/>
        <v>59202761.830829076</v>
      </c>
      <c r="D153" s="45">
        <f t="shared" si="6"/>
        <v>60978844.685753949</v>
      </c>
    </row>
    <row r="154" spans="1:4">
      <c r="A154" s="46"/>
      <c r="B154" s="45"/>
      <c r="C154" s="45"/>
      <c r="D154" s="45"/>
    </row>
    <row r="155" spans="1:4" ht="30">
      <c r="A155" s="68" t="s">
        <v>237</v>
      </c>
      <c r="B155" s="45">
        <f>$B$4*((18-B139)/153)</f>
        <v>8202080.0862745093</v>
      </c>
      <c r="C155" s="45">
        <f>$B$4*((18-C139)/153)</f>
        <v>5468053.3908496732</v>
      </c>
      <c r="D155" s="45">
        <f>$B$4*((18-D139)/153)</f>
        <v>2734026.6954248366</v>
      </c>
    </row>
    <row r="156" spans="1:4">
      <c r="A156" s="46" t="s">
        <v>28</v>
      </c>
      <c r="B156" s="45">
        <f>F110*1.03</f>
        <v>2939264.3533384535</v>
      </c>
      <c r="C156" s="45">
        <f>B156*1.03</f>
        <v>3027442.2839386072</v>
      </c>
      <c r="D156" s="45">
        <f>C156*1.03</f>
        <v>3118265.5524567654</v>
      </c>
    </row>
    <row r="157" spans="1:4">
      <c r="A157" s="46"/>
      <c r="B157" s="45"/>
      <c r="C157" s="45"/>
      <c r="D157" s="45"/>
    </row>
    <row r="158" spans="1:4">
      <c r="A158" s="46" t="s">
        <v>29</v>
      </c>
      <c r="B158" s="45"/>
      <c r="C158" s="45"/>
      <c r="D158" s="45"/>
    </row>
    <row r="159" spans="1:4">
      <c r="A159" s="46" t="s">
        <v>30</v>
      </c>
      <c r="B159" s="45">
        <f>F113*1.03</f>
        <v>18981764.553234454</v>
      </c>
      <c r="C159" s="45">
        <f>B159*1.03</f>
        <v>19551217.489831489</v>
      </c>
      <c r="D159" s="45">
        <f>C159*1.03</f>
        <v>20137754.014526434</v>
      </c>
    </row>
    <row r="160" spans="1:4">
      <c r="A160" s="46"/>
      <c r="B160" s="45"/>
      <c r="C160" s="45"/>
      <c r="D160" s="45"/>
    </row>
    <row r="161" spans="1:4">
      <c r="A161" s="46" t="s">
        <v>31</v>
      </c>
      <c r="B161" s="45">
        <f>F115*1.03</f>
        <v>216791922.31485888</v>
      </c>
      <c r="C161" s="45">
        <f>B161*1.03</f>
        <v>223295679.98430467</v>
      </c>
      <c r="D161" s="45">
        <f>C161*1.03</f>
        <v>229994550.38383383</v>
      </c>
    </row>
    <row r="162" spans="1:4">
      <c r="A162" s="46"/>
      <c r="B162" s="45"/>
      <c r="C162" s="45"/>
      <c r="D162" s="45"/>
    </row>
    <row r="163" spans="1:4">
      <c r="A163" s="69" t="s">
        <v>32</v>
      </c>
      <c r="B163" s="45">
        <f>SUM(B148:B161)</f>
        <v>381535516.81981122</v>
      </c>
      <c r="C163" s="45">
        <f>SUM(C148:C161)</f>
        <v>390001493.22639251</v>
      </c>
      <c r="D163" s="45">
        <f>SUM(D148:D161)</f>
        <v>398803469.72603399</v>
      </c>
    </row>
    <row r="164" spans="1:4">
      <c r="A164" s="46"/>
      <c r="B164" s="45"/>
      <c r="C164" s="45"/>
      <c r="D164" s="45"/>
    </row>
    <row r="165" spans="1:4">
      <c r="A165" s="46" t="s">
        <v>33</v>
      </c>
      <c r="B165" s="45">
        <f>B142-B163</f>
        <v>654817429.45246971</v>
      </c>
      <c r="C165" s="45">
        <f>C142-C163</f>
        <v>698048377.54838228</v>
      </c>
      <c r="D165" s="45">
        <f>D142-D163</f>
        <v>743524550.092026</v>
      </c>
    </row>
    <row r="166" spans="1:4">
      <c r="A166" s="46"/>
      <c r="B166" s="45"/>
      <c r="C166" s="45"/>
      <c r="D166" s="45"/>
    </row>
    <row r="167" spans="1:4">
      <c r="A167" s="46" t="s">
        <v>34</v>
      </c>
      <c r="B167" s="45">
        <f>B165*0.4</f>
        <v>261926971.78098789</v>
      </c>
      <c r="C167" s="45">
        <f>C165*0.4</f>
        <v>279219351.01935291</v>
      </c>
      <c r="D167" s="45">
        <f>D165*0.4</f>
        <v>297409820.0368104</v>
      </c>
    </row>
    <row r="168" spans="1:4">
      <c r="A168" s="46"/>
      <c r="B168" s="45"/>
      <c r="C168" s="45"/>
      <c r="D168" s="45"/>
    </row>
    <row r="169" spans="1:4">
      <c r="A169" s="46" t="s">
        <v>35</v>
      </c>
      <c r="B169" s="45">
        <f>B165-B167</f>
        <v>392890457.67148185</v>
      </c>
      <c r="C169" s="45">
        <f>C165-C167</f>
        <v>418829026.52902937</v>
      </c>
      <c r="D169" s="45">
        <f>D165-D167</f>
        <v>446114730.0552156</v>
      </c>
    </row>
    <row r="170" spans="1:4">
      <c r="A170" s="46"/>
      <c r="B170" s="45"/>
      <c r="C170" s="45"/>
      <c r="D170" s="45"/>
    </row>
    <row r="171" spans="1:4">
      <c r="A171" s="46" t="s">
        <v>36</v>
      </c>
      <c r="B171" s="45">
        <f>B155</f>
        <v>8202080.0862745093</v>
      </c>
      <c r="C171" s="45">
        <f>C155</f>
        <v>5468053.3908496732</v>
      </c>
      <c r="D171" s="45">
        <f>D155</f>
        <v>2734026.6954248366</v>
      </c>
    </row>
    <row r="172" spans="1:4">
      <c r="A172" s="46"/>
      <c r="B172" s="45"/>
      <c r="C172" s="45"/>
      <c r="D172" s="45"/>
    </row>
    <row r="173" spans="1:4">
      <c r="A173" s="46" t="s">
        <v>37</v>
      </c>
      <c r="B173" s="45"/>
      <c r="C173" s="45"/>
      <c r="D173" s="45"/>
    </row>
    <row r="174" spans="1:4">
      <c r="A174" s="46" t="s">
        <v>38</v>
      </c>
      <c r="B174" s="45">
        <f>B169+B171</f>
        <v>401092537.75775635</v>
      </c>
      <c r="C174" s="45">
        <f>C169+C171</f>
        <v>424297079.91987902</v>
      </c>
      <c r="D174" s="45">
        <f>D169+D171</f>
        <v>448848756.75064045</v>
      </c>
    </row>
    <row r="175" spans="1:4">
      <c r="A175" s="46"/>
      <c r="B175" s="45"/>
      <c r="C175" s="45"/>
      <c r="D175" s="45"/>
    </row>
    <row r="176" spans="1:4">
      <c r="A176" s="51" t="s">
        <v>39</v>
      </c>
      <c r="B176" s="64">
        <f>F130+B174</f>
        <v>3357521296.1134253</v>
      </c>
      <c r="C176" s="64">
        <f>B176+C174</f>
        <v>3781818376.0333042</v>
      </c>
      <c r="D176" s="64">
        <f>C176+D174</f>
        <v>4230667132.7839446</v>
      </c>
    </row>
  </sheetData>
  <phoneticPr fontId="8" type="noConversion"/>
  <printOptions horizontalCentered="1" verticalCentered="1"/>
  <pageMargins left="0.25" right="0.25" top="0.5" bottom="0.25" header="0" footer="0"/>
  <pageSetup orientation="portrait" horizontalDpi="0" verticalDpi="0" r:id="rId1"/>
</worksheet>
</file>

<file path=xl/worksheets/sheet6.xml><?xml version="1.0" encoding="utf-8"?>
<worksheet xmlns="http://schemas.openxmlformats.org/spreadsheetml/2006/main" xmlns:r="http://schemas.openxmlformats.org/officeDocument/2006/relationships">
  <dimension ref="A3:E7"/>
  <sheetViews>
    <sheetView zoomScaleNormal="100" workbookViewId="0">
      <selection activeCell="C4" sqref="C4"/>
    </sheetView>
  </sheetViews>
  <sheetFormatPr defaultRowHeight="15"/>
  <sheetData>
    <row r="3" spans="1:5" ht="15.75" thickBot="1">
      <c r="C3" s="79">
        <v>-25</v>
      </c>
      <c r="D3" s="79">
        <v>0</v>
      </c>
      <c r="E3" s="79">
        <v>25</v>
      </c>
    </row>
    <row r="4" spans="1:5">
      <c r="A4" s="96" t="s">
        <v>41</v>
      </c>
      <c r="B4" s="80" t="s">
        <v>255</v>
      </c>
      <c r="C4" s="81">
        <v>21.07</v>
      </c>
      <c r="D4" s="82">
        <v>34.97</v>
      </c>
      <c r="E4" s="83">
        <v>44.91</v>
      </c>
    </row>
    <row r="5" spans="1:5">
      <c r="A5" s="96"/>
      <c r="B5" s="80" t="s">
        <v>256</v>
      </c>
      <c r="C5" s="84">
        <v>38.770000000000003</v>
      </c>
      <c r="D5" s="85">
        <v>34.97</v>
      </c>
      <c r="E5" s="86">
        <v>30.87</v>
      </c>
    </row>
    <row r="6" spans="1:5">
      <c r="A6" s="96"/>
      <c r="B6" s="80" t="s">
        <v>257</v>
      </c>
      <c r="C6" s="84">
        <v>36.909999999999997</v>
      </c>
      <c r="D6" s="85">
        <v>34.97</v>
      </c>
      <c r="E6" s="86">
        <v>33.770000000000003</v>
      </c>
    </row>
    <row r="7" spans="1:5" ht="15.75" thickBot="1">
      <c r="A7" s="96"/>
      <c r="B7" s="80" t="s">
        <v>258</v>
      </c>
      <c r="C7" s="87">
        <v>38.090000000000003</v>
      </c>
      <c r="D7" s="88">
        <v>34.97</v>
      </c>
      <c r="E7" s="89">
        <v>32.07</v>
      </c>
    </row>
  </sheetData>
  <mergeCells count="1">
    <mergeCell ref="A4:A7"/>
  </mergeCells>
  <phoneticPr fontId="8"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Equipment</vt:lpstr>
      <vt:lpstr>TIC</vt:lpstr>
      <vt:lpstr>Labor</vt:lpstr>
      <vt:lpstr>Puting It Together</vt:lpstr>
      <vt:lpstr>Handout</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Drew</dc:creator>
  <cp:lastModifiedBy>Ryan Kosak</cp:lastModifiedBy>
  <cp:lastPrinted>2011-03-08T15:46:29Z</cp:lastPrinted>
  <dcterms:created xsi:type="dcterms:W3CDTF">2011-02-10T23:29:32Z</dcterms:created>
  <dcterms:modified xsi:type="dcterms:W3CDTF">2011-04-16T16:10:49Z</dcterms:modified>
</cp:coreProperties>
</file>