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4795" windowHeight="1146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Sheet1!$D$37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Sheet1!$K$33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1069</definedName>
  </definedNames>
  <calcPr calcId="125725"/>
</workbook>
</file>

<file path=xl/calcChain.xml><?xml version="1.0" encoding="utf-8"?>
<calcChain xmlns="http://schemas.openxmlformats.org/spreadsheetml/2006/main">
  <c r="F37" i="1"/>
  <c r="E37"/>
  <c r="F33"/>
  <c r="F34"/>
  <c r="F35"/>
  <c r="F36"/>
  <c r="F32"/>
  <c r="F40"/>
  <c r="B24" l="1"/>
  <c r="R16"/>
  <c r="R17"/>
  <c r="R18"/>
  <c r="R19"/>
  <c r="R20"/>
  <c r="S21"/>
  <c r="E9"/>
  <c r="E11"/>
  <c r="E10"/>
  <c r="O12"/>
  <c r="B28"/>
  <c r="D27" s="1"/>
  <c r="B25"/>
  <c r="B26"/>
  <c r="D25" s="1"/>
  <c r="B27"/>
  <c r="D24" l="1"/>
  <c r="B32" s="1"/>
  <c r="C32"/>
  <c r="B37"/>
  <c r="R21"/>
  <c r="E27"/>
  <c r="F27" s="1"/>
  <c r="H27" s="1"/>
  <c r="E25"/>
  <c r="F25" s="1"/>
  <c r="H25" s="1"/>
  <c r="K4"/>
  <c r="E8"/>
  <c r="B18" s="1"/>
  <c r="C18" s="1"/>
  <c r="E7"/>
  <c r="B17" s="1"/>
  <c r="C17" s="1"/>
  <c r="E6"/>
  <c r="E5"/>
  <c r="E4"/>
  <c r="B42" l="1"/>
  <c r="B33"/>
  <c r="C33" s="1"/>
  <c r="B34"/>
  <c r="C34" s="1"/>
  <c r="B35"/>
  <c r="C35" s="1"/>
  <c r="B40"/>
  <c r="B47"/>
  <c r="C47" s="1"/>
  <c r="D47" s="1"/>
  <c r="B36"/>
  <c r="C36" s="1"/>
  <c r="B41"/>
  <c r="C41" s="1"/>
  <c r="D41" s="1"/>
  <c r="K12"/>
  <c r="G25"/>
  <c r="G27"/>
  <c r="B14"/>
  <c r="P7"/>
  <c r="P9"/>
  <c r="P8"/>
  <c r="P10"/>
  <c r="P4"/>
  <c r="B16"/>
  <c r="C16" s="1"/>
  <c r="P6"/>
  <c r="P5"/>
  <c r="B15"/>
  <c r="C15" s="1"/>
  <c r="P11"/>
  <c r="F41" l="1"/>
  <c r="E41"/>
  <c r="C40"/>
  <c r="B44"/>
  <c r="B46"/>
  <c r="I40"/>
  <c r="B45"/>
  <c r="C45" s="1"/>
  <c r="D45" s="1"/>
  <c r="B43"/>
  <c r="C43" s="1"/>
  <c r="D43" s="1"/>
  <c r="C42"/>
  <c r="D42" s="1"/>
  <c r="F47"/>
  <c r="E47"/>
  <c r="D26"/>
  <c r="E26" s="1"/>
  <c r="F26" s="1"/>
  <c r="H26" s="1"/>
  <c r="B29"/>
  <c r="C14"/>
  <c r="B19"/>
  <c r="C19" s="1"/>
  <c r="L5" s="1"/>
  <c r="P12"/>
  <c r="D16"/>
  <c r="F16"/>
  <c r="E16"/>
  <c r="I42" l="1"/>
  <c r="B48"/>
  <c r="F43"/>
  <c r="E43"/>
  <c r="J42"/>
  <c r="F45"/>
  <c r="E45"/>
  <c r="J40"/>
  <c r="C46"/>
  <c r="D46" s="1"/>
  <c r="I44"/>
  <c r="D40"/>
  <c r="I41"/>
  <c r="I45" s="1"/>
  <c r="F42"/>
  <c r="E42"/>
  <c r="I43"/>
  <c r="C44"/>
  <c r="D44" s="1"/>
  <c r="D29"/>
  <c r="K16"/>
  <c r="K19"/>
  <c r="K17"/>
  <c r="K18"/>
  <c r="D14"/>
  <c r="L4"/>
  <c r="L6"/>
  <c r="L7"/>
  <c r="L10"/>
  <c r="L8"/>
  <c r="L11"/>
  <c r="E24"/>
  <c r="G26"/>
  <c r="F17"/>
  <c r="D17"/>
  <c r="F19"/>
  <c r="E17"/>
  <c r="F14"/>
  <c r="E14"/>
  <c r="D18"/>
  <c r="F18"/>
  <c r="E18"/>
  <c r="F15"/>
  <c r="E15"/>
  <c r="D15"/>
  <c r="O18" l="1"/>
  <c r="O16"/>
  <c r="C48"/>
  <c r="J43"/>
  <c r="O19"/>
  <c r="O20"/>
  <c r="J44"/>
  <c r="F44"/>
  <c r="E44"/>
  <c r="J41"/>
  <c r="J45" s="1"/>
  <c r="P16" s="1"/>
  <c r="O17"/>
  <c r="F48"/>
  <c r="E40"/>
  <c r="D48"/>
  <c r="F46"/>
  <c r="E46"/>
  <c r="K40"/>
  <c r="K42"/>
  <c r="K21"/>
  <c r="L20"/>
  <c r="L16"/>
  <c r="L17"/>
  <c r="L18"/>
  <c r="L19"/>
  <c r="D32"/>
  <c r="E32" s="1"/>
  <c r="F24"/>
  <c r="E29"/>
  <c r="L12"/>
  <c r="D19"/>
  <c r="E19"/>
  <c r="P18" l="1"/>
  <c r="E48"/>
  <c r="O21"/>
  <c r="F29"/>
  <c r="H24"/>
  <c r="H29" s="1"/>
  <c r="G24"/>
  <c r="M40"/>
  <c r="L40"/>
  <c r="M42"/>
  <c r="L42"/>
  <c r="P17"/>
  <c r="P21" s="1"/>
  <c r="K41"/>
  <c r="P19"/>
  <c r="K43"/>
  <c r="K44"/>
  <c r="P20"/>
  <c r="G29"/>
  <c r="L21"/>
  <c r="D33"/>
  <c r="E33" s="1"/>
  <c r="D34"/>
  <c r="E34" s="1"/>
  <c r="K45" l="1"/>
  <c r="M43"/>
  <c r="L43"/>
  <c r="M41"/>
  <c r="M45" s="1"/>
  <c r="L41"/>
  <c r="L45" s="1"/>
  <c r="M44"/>
  <c r="L44"/>
  <c r="D35"/>
  <c r="E35" s="1"/>
  <c r="D36"/>
  <c r="E36" s="1"/>
  <c r="D37" l="1"/>
  <c r="C37"/>
</calcChain>
</file>

<file path=xl/sharedStrings.xml><?xml version="1.0" encoding="utf-8"?>
<sst xmlns="http://schemas.openxmlformats.org/spreadsheetml/2006/main" count="144" uniqueCount="53">
  <si>
    <t>C</t>
  </si>
  <si>
    <t>Elemental MW (g/mol)</t>
  </si>
  <si>
    <t>H</t>
  </si>
  <si>
    <t>O</t>
  </si>
  <si>
    <t>N</t>
  </si>
  <si>
    <t>S</t>
  </si>
  <si>
    <t>Componet MW (g/mol)</t>
  </si>
  <si>
    <t>CO</t>
  </si>
  <si>
    <t>CO2</t>
  </si>
  <si>
    <t>CH4</t>
  </si>
  <si>
    <t>H2</t>
  </si>
  <si>
    <t>N2</t>
  </si>
  <si>
    <t>Metric Tons/day</t>
  </si>
  <si>
    <t>Bar</t>
  </si>
  <si>
    <t>Total</t>
  </si>
  <si>
    <t>Moles/day</t>
  </si>
  <si>
    <t>Moles/     day</t>
  </si>
  <si>
    <t>Grams/    day</t>
  </si>
  <si>
    <t>Metric tons/day</t>
  </si>
  <si>
    <t>Tons/day</t>
  </si>
  <si>
    <t>Grams/day</t>
  </si>
  <si>
    <t>Kg/day</t>
  </si>
  <si>
    <t>Lbs/day</t>
  </si>
  <si>
    <t>H2O</t>
  </si>
  <si>
    <t>H2S</t>
  </si>
  <si>
    <t>COS</t>
  </si>
  <si>
    <t>Mass</t>
  </si>
  <si>
    <t xml:space="preserve">FINAL SYNGAS </t>
  </si>
  <si>
    <t>COMPONENTS FRACTIONS</t>
  </si>
  <si>
    <t xml:space="preserve">Molar </t>
  </si>
  <si>
    <t>RAW SYNGAS</t>
  </si>
  <si>
    <t>*</t>
  </si>
  <si>
    <t>**</t>
  </si>
  <si>
    <t>PETCOKE</t>
  </si>
  <si>
    <t>ELEMENTAL FRACTIONS</t>
  </si>
  <si>
    <t>Chemical Production  Reqs</t>
  </si>
  <si>
    <t xml:space="preserve">Basis:  </t>
  </si>
  <si>
    <t>Comp. mole flow of final syngas</t>
  </si>
  <si>
    <t xml:space="preserve">Final Syn  Element Flow </t>
  </si>
  <si>
    <t>grams/day</t>
  </si>
  <si>
    <t>Petcoke Elemental Flow</t>
  </si>
  <si>
    <t>Final Syn Component Flow</t>
  </si>
  <si>
    <t>***</t>
  </si>
  <si>
    <t>Total Petcoke</t>
  </si>
  <si>
    <t>Raw Syngas   Component    Flow</t>
  </si>
  <si>
    <t>Raw Syngas  Elemental Flow</t>
  </si>
  <si>
    <t>Specified by production group ( can vary)</t>
  </si>
  <si>
    <t>Specificed by  literature reviews for typical operation (can vary)</t>
  </si>
  <si>
    <t>Specified by literature review for typical composition (can vary)</t>
  </si>
  <si>
    <t>Assumptions:</t>
  </si>
  <si>
    <t xml:space="preserve">2) All sulfur compounds are assumed to be removed </t>
  </si>
  <si>
    <t>MOLES OF FINAL SYNGAS ( solved in order to produce 3000 M.Tons of final syngas)</t>
  </si>
  <si>
    <t>1) Lost carbons are entire CO2 , COS and fudge factor of .0009 molar fraction pcoke carbons are lost between raw syn and final syn</t>
  </si>
</sst>
</file>

<file path=xl/styles.xml><?xml version="1.0" encoding="utf-8"?>
<styleSheet xmlns="http://schemas.openxmlformats.org/spreadsheetml/2006/main">
  <numFmts count="1">
    <numFmt numFmtId="164" formatCode="0.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 wrapText="1"/>
    </xf>
    <xf numFmtId="0" fontId="0" fillId="0" borderId="0" xfId="0" applyBorder="1"/>
    <xf numFmtId="0" fontId="0" fillId="0" borderId="0" xfId="0" applyAlignment="1">
      <alignment vertical="top"/>
    </xf>
    <xf numFmtId="0" fontId="0" fillId="2" borderId="0" xfId="0" applyFont="1" applyFill="1" applyAlignment="1">
      <alignment wrapText="1"/>
    </xf>
    <xf numFmtId="0" fontId="1" fillId="2" borderId="0" xfId="0" applyFont="1" applyFill="1"/>
    <xf numFmtId="164" fontId="2" fillId="0" borderId="0" xfId="0" applyNumberFormat="1" applyFont="1"/>
    <xf numFmtId="0" fontId="0" fillId="0" borderId="0" xfId="0" applyFont="1"/>
    <xf numFmtId="0" fontId="3" fillId="0" borderId="0" xfId="0" applyFont="1"/>
    <xf numFmtId="0" fontId="4" fillId="0" borderId="0" xfId="0" applyFont="1"/>
    <xf numFmtId="0" fontId="0" fillId="0" borderId="2" xfId="0" applyBorder="1"/>
    <xf numFmtId="0" fontId="0" fillId="0" borderId="5" xfId="0" applyBorder="1"/>
    <xf numFmtId="0" fontId="1" fillId="0" borderId="0" xfId="0" applyFont="1" applyBorder="1" applyAlignment="1">
      <alignment horizontal="center"/>
    </xf>
    <xf numFmtId="0" fontId="0" fillId="0" borderId="6" xfId="0" applyBorder="1"/>
    <xf numFmtId="0" fontId="0" fillId="0" borderId="9" xfId="0" applyBorder="1"/>
    <xf numFmtId="0" fontId="0" fillId="0" borderId="8" xfId="0" applyBorder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0" fillId="0" borderId="4" xfId="0" applyBorder="1"/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0" fillId="0" borderId="0" xfId="0" applyBorder="1" applyAlignment="1">
      <alignment horizontal="left"/>
    </xf>
    <xf numFmtId="0" fontId="1" fillId="0" borderId="0" xfId="0" applyFont="1" applyBorder="1" applyAlignment="1"/>
    <xf numFmtId="0" fontId="3" fillId="0" borderId="0" xfId="0" applyFont="1" applyBorder="1" applyAlignment="1">
      <alignment horizontal="center"/>
    </xf>
    <xf numFmtId="0" fontId="1" fillId="3" borderId="0" xfId="0" applyFont="1" applyFill="1" applyBorder="1"/>
    <xf numFmtId="0" fontId="0" fillId="0" borderId="3" xfId="0" applyBorder="1"/>
    <xf numFmtId="0" fontId="0" fillId="0" borderId="7" xfId="0" applyBorder="1"/>
    <xf numFmtId="0" fontId="0" fillId="0" borderId="8" xfId="0" applyFill="1" applyBorder="1"/>
    <xf numFmtId="0" fontId="0" fillId="2" borderId="0" xfId="0" applyFill="1"/>
    <xf numFmtId="1" fontId="0" fillId="0" borderId="0" xfId="0" applyNumberFormat="1"/>
    <xf numFmtId="164" fontId="0" fillId="0" borderId="0" xfId="0" applyNumberFormat="1"/>
    <xf numFmtId="1" fontId="1" fillId="0" borderId="0" xfId="0" applyNumberFormat="1" applyFont="1"/>
    <xf numFmtId="0" fontId="1" fillId="0" borderId="1" xfId="0" applyFont="1" applyBorder="1"/>
    <xf numFmtId="1" fontId="0" fillId="3" borderId="0" xfId="0" applyNumberFormat="1" applyFill="1"/>
    <xf numFmtId="0" fontId="4" fillId="0" borderId="0" xfId="0" applyFont="1" applyAlignment="1">
      <alignment vertical="top" wrapText="1"/>
    </xf>
    <xf numFmtId="0" fontId="5" fillId="0" borderId="0" xfId="0" applyFont="1" applyAlignment="1">
      <alignment wrapText="1"/>
    </xf>
    <xf numFmtId="164" fontId="0" fillId="0" borderId="0" xfId="0" applyNumberFormat="1" applyFont="1" applyBorder="1"/>
    <xf numFmtId="164" fontId="0" fillId="0" borderId="0" xfId="0" applyNumberFormat="1" applyFont="1" applyFill="1" applyBorder="1"/>
    <xf numFmtId="164" fontId="0" fillId="0" borderId="0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48"/>
  <sheetViews>
    <sheetView tabSelected="1" workbookViewId="0">
      <selection activeCell="L31" sqref="L31"/>
    </sheetView>
  </sheetViews>
  <sheetFormatPr defaultRowHeight="15"/>
  <cols>
    <col min="1" max="1" width="13" customWidth="1"/>
    <col min="2" max="3" width="11.5703125" customWidth="1"/>
    <col min="4" max="4" width="12.140625" customWidth="1"/>
    <col min="5" max="5" width="10.7109375" customWidth="1"/>
    <col min="6" max="7" width="11.42578125" customWidth="1"/>
    <col min="8" max="8" width="12.140625" customWidth="1"/>
    <col min="9" max="9" width="12.42578125" customWidth="1"/>
    <col min="10" max="10" width="12.140625" customWidth="1"/>
    <col min="11" max="11" width="9.85546875" customWidth="1"/>
    <col min="12" max="12" width="9.28515625" bestFit="1" customWidth="1"/>
    <col min="13" max="13" width="11.5703125" bestFit="1" customWidth="1"/>
  </cols>
  <sheetData>
    <row r="1" spans="1:20" ht="15.75">
      <c r="A1" s="4" t="s">
        <v>35</v>
      </c>
      <c r="B1" s="4"/>
      <c r="C1" s="4"/>
      <c r="D1" s="4">
        <v>260</v>
      </c>
      <c r="E1" s="4" t="s">
        <v>0</v>
      </c>
      <c r="K1" s="11" t="s">
        <v>28</v>
      </c>
      <c r="L1" s="11"/>
    </row>
    <row r="2" spans="1:20">
      <c r="A2" s="27">
        <v>3000</v>
      </c>
      <c r="B2" s="4" t="s">
        <v>12</v>
      </c>
      <c r="C2" s="4"/>
      <c r="D2" s="4">
        <v>50</v>
      </c>
      <c r="E2" s="4" t="s">
        <v>13</v>
      </c>
      <c r="J2" s="4"/>
      <c r="K2" s="22" t="s">
        <v>27</v>
      </c>
      <c r="L2" s="26"/>
      <c r="M2" s="4"/>
      <c r="N2" s="4"/>
      <c r="O2" s="22" t="s">
        <v>30</v>
      </c>
      <c r="P2" s="24"/>
      <c r="R2" s="10"/>
      <c r="S2" s="10"/>
    </row>
    <row r="3" spans="1:20">
      <c r="A3" s="12" t="s">
        <v>1</v>
      </c>
      <c r="B3" s="28"/>
      <c r="C3" s="28"/>
      <c r="D3" s="28" t="s">
        <v>6</v>
      </c>
      <c r="E3" s="21"/>
      <c r="J3" s="4" t="s">
        <v>31</v>
      </c>
      <c r="K3" s="14" t="s">
        <v>29</v>
      </c>
      <c r="L3" s="18" t="s">
        <v>26</v>
      </c>
      <c r="M3" s="4"/>
      <c r="N3" s="4" t="s">
        <v>32</v>
      </c>
      <c r="O3" s="14" t="s">
        <v>29</v>
      </c>
      <c r="P3" s="25" t="s">
        <v>26</v>
      </c>
    </row>
    <row r="4" spans="1:20">
      <c r="A4" s="13" t="s">
        <v>0</v>
      </c>
      <c r="B4" s="4">
        <v>12.010999999999999</v>
      </c>
      <c r="C4" s="4">
        <v>12.010999999999999</v>
      </c>
      <c r="D4" s="4" t="s">
        <v>7</v>
      </c>
      <c r="E4" s="15">
        <f>B4+B6</f>
        <v>28.009999999999998</v>
      </c>
      <c r="J4" s="18" t="s">
        <v>7</v>
      </c>
      <c r="K4" s="39">
        <f>0.2786</f>
        <v>0.27860000000000001</v>
      </c>
      <c r="L4" s="39">
        <f>C14/$C$19</f>
        <v>0.7172549986869603</v>
      </c>
      <c r="M4" s="4"/>
      <c r="N4" s="18" t="s">
        <v>7</v>
      </c>
      <c r="O4" s="41">
        <v>0.62630000000000008</v>
      </c>
      <c r="P4" s="41">
        <f>(E4*O4)/(($E$4*$O$4)+($E$5*$O$5)+($E$6*$O$6)+($E$7*$O$7)+($E$8*$O$8)+($E$9*$O$9)+($E$10*$O$10)+($E$11*$O$11))</f>
        <v>0.82400713647572066</v>
      </c>
    </row>
    <row r="5" spans="1:20">
      <c r="A5" s="13" t="s">
        <v>2</v>
      </c>
      <c r="B5" s="4">
        <v>1.0079</v>
      </c>
      <c r="C5" s="4">
        <v>1.0079</v>
      </c>
      <c r="D5" s="4" t="s">
        <v>8</v>
      </c>
      <c r="E5" s="15">
        <f>B4+(2*B6)</f>
        <v>44.009</v>
      </c>
      <c r="J5" s="18" t="s">
        <v>8</v>
      </c>
      <c r="K5" s="39">
        <v>3.5200000000000002E-2</v>
      </c>
      <c r="L5" s="39">
        <f>C15/$C$19</f>
        <v>0.14238476622798138</v>
      </c>
      <c r="M5" s="4"/>
      <c r="N5" s="18" t="s">
        <v>8</v>
      </c>
      <c r="O5" s="41">
        <v>2.1700000000000001E-2</v>
      </c>
      <c r="P5" s="41">
        <f t="shared" ref="P5:P11" si="0">(E5*O5)/(($E$4*$O$4)+($E$5*$O$5)+($E$6*$O$6)+($E$7*$O$7)+($E$8*$O$8)+($E$9*$O$9)+($E$10*$O$10)+($E$11*$O$11))</f>
        <v>4.4857667419180985E-2</v>
      </c>
    </row>
    <row r="6" spans="1:20">
      <c r="A6" s="13" t="s">
        <v>3</v>
      </c>
      <c r="B6" s="4">
        <v>15.999000000000001</v>
      </c>
      <c r="C6" s="4">
        <v>15.999000000000001</v>
      </c>
      <c r="D6" s="4" t="s">
        <v>9</v>
      </c>
      <c r="E6" s="15">
        <f>B4+(4*B5)</f>
        <v>16.0426</v>
      </c>
      <c r="J6" s="18" t="s">
        <v>9</v>
      </c>
      <c r="K6" s="39">
        <v>2.0999999999999999E-3</v>
      </c>
      <c r="L6" s="39">
        <f t="shared" ref="L6:L12" si="1">C16/$C$19</f>
        <v>3.096516599940642E-3</v>
      </c>
      <c r="M6" s="4"/>
      <c r="N6" s="18" t="s">
        <v>9</v>
      </c>
      <c r="O6" s="41">
        <v>8.9999999999999998E-4</v>
      </c>
      <c r="P6" s="41">
        <f t="shared" si="0"/>
        <v>6.7819208513911797E-4</v>
      </c>
    </row>
    <row r="7" spans="1:20">
      <c r="A7" s="13" t="s">
        <v>4</v>
      </c>
      <c r="B7" s="4">
        <v>14.007</v>
      </c>
      <c r="C7" s="4">
        <v>14.007</v>
      </c>
      <c r="D7" s="4" t="s">
        <v>10</v>
      </c>
      <c r="E7" s="15">
        <f>2*B5</f>
        <v>2.0158</v>
      </c>
      <c r="J7" s="18" t="s">
        <v>10</v>
      </c>
      <c r="K7" s="39">
        <v>0.67969999999999997</v>
      </c>
      <c r="L7" s="39">
        <f t="shared" si="1"/>
        <v>0.12593431188331272</v>
      </c>
      <c r="M7" s="4"/>
      <c r="N7" s="18" t="s">
        <v>10</v>
      </c>
      <c r="O7" s="41">
        <v>0.26140000000000002</v>
      </c>
      <c r="P7" s="41">
        <f t="shared" si="0"/>
        <v>2.4750756444674782E-2</v>
      </c>
    </row>
    <row r="8" spans="1:20">
      <c r="A8" s="13" t="s">
        <v>5</v>
      </c>
      <c r="B8" s="4">
        <v>32.066000000000003</v>
      </c>
      <c r="C8" s="4">
        <v>32.066000000000003</v>
      </c>
      <c r="D8" s="4" t="s">
        <v>11</v>
      </c>
      <c r="E8" s="15">
        <f>2*B7</f>
        <v>28.013999999999999</v>
      </c>
      <c r="J8" s="18" t="s">
        <v>11</v>
      </c>
      <c r="K8" s="39">
        <v>4.4000000000000003E-3</v>
      </c>
      <c r="L8" s="39">
        <f t="shared" si="1"/>
        <v>1.1329406601804945E-2</v>
      </c>
      <c r="M8" s="4"/>
      <c r="N8" s="18" t="s">
        <v>11</v>
      </c>
      <c r="O8" s="41">
        <v>4.9400000000000006E-2</v>
      </c>
      <c r="P8" s="41">
        <f t="shared" si="0"/>
        <v>6.5003617438743666E-2</v>
      </c>
    </row>
    <row r="9" spans="1:20">
      <c r="A9" s="13"/>
      <c r="B9" s="4"/>
      <c r="C9" s="4"/>
      <c r="D9" s="20" t="s">
        <v>23</v>
      </c>
      <c r="E9" s="15">
        <f>(2*B5)+B6</f>
        <v>18.014800000000001</v>
      </c>
      <c r="J9" s="18" t="s">
        <v>23</v>
      </c>
      <c r="K9" s="40">
        <v>0</v>
      </c>
      <c r="L9" s="39">
        <v>0</v>
      </c>
      <c r="M9" s="4"/>
      <c r="N9" s="18" t="s">
        <v>23</v>
      </c>
      <c r="O9" s="41">
        <v>3.2199999999999999E-2</v>
      </c>
      <c r="P9" s="41">
        <f t="shared" si="0"/>
        <v>2.7247130332623194E-2</v>
      </c>
    </row>
    <row r="10" spans="1:20">
      <c r="A10" s="13"/>
      <c r="B10" s="4"/>
      <c r="C10" s="4"/>
      <c r="D10" s="20" t="s">
        <v>24</v>
      </c>
      <c r="E10" s="15">
        <f>(2*B5)+B8</f>
        <v>34.081800000000001</v>
      </c>
      <c r="J10" s="18" t="s">
        <v>24</v>
      </c>
      <c r="K10" s="40">
        <v>0</v>
      </c>
      <c r="L10" s="39">
        <f t="shared" si="1"/>
        <v>0</v>
      </c>
      <c r="M10" s="4"/>
      <c r="N10" s="18" t="s">
        <v>24</v>
      </c>
      <c r="O10" s="41">
        <v>7.7000000000000002E-3</v>
      </c>
      <c r="P10" s="41">
        <f t="shared" si="0"/>
        <v>1.232675321097625E-2</v>
      </c>
    </row>
    <row r="11" spans="1:20">
      <c r="A11" s="29"/>
      <c r="B11" s="17"/>
      <c r="C11" s="17"/>
      <c r="D11" s="30" t="s">
        <v>25</v>
      </c>
      <c r="E11" s="16">
        <f>B4+B6+B8</f>
        <v>60.076000000000001</v>
      </c>
      <c r="J11" s="18" t="s">
        <v>25</v>
      </c>
      <c r="K11" s="40">
        <v>0</v>
      </c>
      <c r="L11" s="39">
        <f t="shared" si="1"/>
        <v>0</v>
      </c>
      <c r="M11" s="4"/>
      <c r="N11" s="18" t="s">
        <v>25</v>
      </c>
      <c r="O11" s="41">
        <v>4.0000000000000002E-4</v>
      </c>
      <c r="P11" s="41">
        <f t="shared" si="0"/>
        <v>1.1287465929412288E-3</v>
      </c>
    </row>
    <row r="12" spans="1:20">
      <c r="A12" s="7" t="s">
        <v>36</v>
      </c>
      <c r="B12" s="6">
        <v>275740537.150949</v>
      </c>
      <c r="C12" s="31" t="s">
        <v>51</v>
      </c>
      <c r="D12" s="31"/>
      <c r="E12" s="31"/>
      <c r="F12" s="31"/>
      <c r="G12" s="31"/>
      <c r="H12" s="31"/>
      <c r="J12" s="19" t="s">
        <v>14</v>
      </c>
      <c r="K12" s="41">
        <f>SUM(K4:K11)</f>
        <v>1</v>
      </c>
      <c r="L12" s="40">
        <f>SUM(L4:L11)</f>
        <v>0.99999999999999989</v>
      </c>
      <c r="M12" s="4"/>
      <c r="N12" s="19" t="s">
        <v>14</v>
      </c>
      <c r="O12" s="41">
        <f>SUM(O4:O11)</f>
        <v>1.0000000000000002</v>
      </c>
      <c r="P12" s="41">
        <f>SUM(P4:P11)</f>
        <v>0.99999999999999967</v>
      </c>
    </row>
    <row r="13" spans="1:20" ht="36.75">
      <c r="A13" s="38" t="s">
        <v>37</v>
      </c>
      <c r="B13" s="3" t="s">
        <v>20</v>
      </c>
      <c r="C13" s="3" t="s">
        <v>18</v>
      </c>
      <c r="D13" s="5" t="s">
        <v>19</v>
      </c>
      <c r="E13" s="5" t="s">
        <v>22</v>
      </c>
      <c r="F13" s="5" t="s">
        <v>21</v>
      </c>
      <c r="G13" s="1"/>
      <c r="K13" s="23" t="s">
        <v>34</v>
      </c>
      <c r="L13" s="11"/>
    </row>
    <row r="14" spans="1:20">
      <c r="A14" s="1" t="s">
        <v>7</v>
      </c>
      <c r="B14" s="32">
        <f>(K4*$B$12)*E4</f>
        <v>2151764995.3436255</v>
      </c>
      <c r="C14" s="32">
        <f>B14/1000000</f>
        <v>2151.7649953436257</v>
      </c>
      <c r="D14" s="32">
        <f>C14*1.10231131</f>
        <v>2371.914890829376</v>
      </c>
      <c r="E14" s="32">
        <f t="shared" ref="E14:E19" si="2">C14*2204.62262</f>
        <v>4743829.7816587519</v>
      </c>
      <c r="F14" s="32">
        <f t="shared" ref="F14:F19" si="3">C14*1000</f>
        <v>2151764.9953436255</v>
      </c>
      <c r="G14" s="8"/>
      <c r="H14" s="1"/>
      <c r="K14" s="22" t="s">
        <v>27</v>
      </c>
      <c r="O14" s="22" t="s">
        <v>30</v>
      </c>
      <c r="R14" s="10" t="s">
        <v>33</v>
      </c>
      <c r="S14" t="s">
        <v>42</v>
      </c>
    </row>
    <row r="15" spans="1:20">
      <c r="A15" s="1" t="s">
        <v>8</v>
      </c>
      <c r="B15" s="32">
        <f>(K5*$B$12)*E5</f>
        <v>427154298.54155928</v>
      </c>
      <c r="C15" s="32">
        <f t="shared" ref="C15:C19" si="4">B15/1000000</f>
        <v>427.15429854155929</v>
      </c>
      <c r="D15" s="32">
        <f t="shared" ref="D15:D19" si="5">C15*1.10231131</f>
        <v>470.85701439747726</v>
      </c>
      <c r="E15" s="32">
        <f t="shared" si="2"/>
        <v>941714.02879495465</v>
      </c>
      <c r="F15" s="32">
        <f t="shared" si="3"/>
        <v>427154.29854155931</v>
      </c>
      <c r="G15" s="8"/>
      <c r="H15" s="1"/>
      <c r="K15" s="14" t="s">
        <v>29</v>
      </c>
      <c r="L15" s="18" t="s">
        <v>26</v>
      </c>
      <c r="O15" s="14" t="s">
        <v>29</v>
      </c>
      <c r="P15" s="18" t="s">
        <v>26</v>
      </c>
      <c r="R15" s="14" t="s">
        <v>29</v>
      </c>
      <c r="S15" s="1" t="s">
        <v>26</v>
      </c>
      <c r="T15" s="18"/>
    </row>
    <row r="16" spans="1:20">
      <c r="A16" s="1" t="s">
        <v>9</v>
      </c>
      <c r="B16" s="32">
        <f>(K6*$B$12)*E6</f>
        <v>9289549.7967254091</v>
      </c>
      <c r="C16" s="32">
        <f t="shared" si="4"/>
        <v>9.2895497967254084</v>
      </c>
      <c r="D16" s="32">
        <f t="shared" si="5"/>
        <v>10.239975805738618</v>
      </c>
      <c r="E16" s="32">
        <f t="shared" si="2"/>
        <v>20479.951611477238</v>
      </c>
      <c r="F16" s="32">
        <f t="shared" si="3"/>
        <v>9289.5497967254087</v>
      </c>
      <c r="G16" s="8"/>
      <c r="H16" s="1"/>
      <c r="J16" s="18" t="s">
        <v>0</v>
      </c>
      <c r="K16" s="33">
        <f>D24/SUM($D$24:$D$28)</f>
        <v>0.15473916238060254</v>
      </c>
      <c r="L16" s="33">
        <f>(K16*B4)/(($K$16*$B$4)+($K$17*$B$5)+($K$18*$B$6)+($K$19*$B$7)+($K$20*$B$8))</f>
        <v>0.34874513312436956</v>
      </c>
      <c r="O16" s="33">
        <f>I40/$I$45</f>
        <v>0.31447667942073909</v>
      </c>
      <c r="P16" s="33">
        <f>J40/$J$45</f>
        <v>0.36631948699778788</v>
      </c>
      <c r="R16" s="33">
        <f>(S16/B4)/(($S$16/$B$4)+($S$17/$B$5)+($S$18/$B$6)+($S$19/$B$7)+($S$20/$B$8))</f>
        <v>0.60179836601989978</v>
      </c>
      <c r="S16" s="33">
        <v>0.83299999999999996</v>
      </c>
      <c r="T16" s="9"/>
    </row>
    <row r="17" spans="1:20">
      <c r="A17" s="1" t="s">
        <v>10</v>
      </c>
      <c r="B17" s="32">
        <f>(K7*$B$12)*E7</f>
        <v>377802935.5240038</v>
      </c>
      <c r="C17" s="32">
        <f t="shared" si="4"/>
        <v>377.80293552400383</v>
      </c>
      <c r="D17" s="32">
        <f t="shared" si="5"/>
        <v>416.45644877931016</v>
      </c>
      <c r="E17" s="32">
        <f t="shared" si="2"/>
        <v>832912.89755862043</v>
      </c>
      <c r="F17" s="32">
        <f t="shared" si="3"/>
        <v>377802.93552400381</v>
      </c>
      <c r="G17" s="8"/>
      <c r="H17" s="1"/>
      <c r="J17" s="18" t="s">
        <v>2</v>
      </c>
      <c r="K17" s="33">
        <f>D25/SUM($D$24:$D$28)</f>
        <v>0.66999755082047519</v>
      </c>
      <c r="L17" s="33">
        <f>(K17*B5)/(($K$16*$B$4)+($K$17*$B$5)+($K$18*$B$6)+($K$19*$B$7)+($K$20*$B$8))</f>
        <v>0.12671248476827654</v>
      </c>
      <c r="O17" s="33">
        <f t="shared" ref="O17:O20" si="6">I41/$I$45</f>
        <v>0.2936019760740059</v>
      </c>
      <c r="P17" s="33">
        <f t="shared" ref="P17:P20" si="7">J41/$J$45</f>
        <v>2.8699136489598036E-2</v>
      </c>
      <c r="R17" s="33">
        <f>(S17/B5)/(($S$16/$B$4)+($S$17/$B$5)+($S$18/$B$6)+($S$19/$B$7)+($S$20/$B$8))</f>
        <v>0.34437190727538242</v>
      </c>
      <c r="S17" s="33">
        <v>0.04</v>
      </c>
      <c r="T17" s="9"/>
    </row>
    <row r="18" spans="1:20">
      <c r="A18" s="1" t="s">
        <v>11</v>
      </c>
      <c r="B18" s="32">
        <f>(K8*$B$12)*E8</f>
        <v>33988219.794085421</v>
      </c>
      <c r="C18" s="32">
        <f t="shared" si="4"/>
        <v>33.988219794085424</v>
      </c>
      <c r="D18" s="32">
        <f t="shared" si="5"/>
        <v>37.465599085786231</v>
      </c>
      <c r="E18" s="32">
        <f t="shared" si="2"/>
        <v>74931.198171572469</v>
      </c>
      <c r="F18" s="32">
        <f t="shared" si="3"/>
        <v>33988.219794085424</v>
      </c>
      <c r="G18" s="8"/>
      <c r="H18" s="1"/>
      <c r="J18" s="18" t="s">
        <v>3</v>
      </c>
      <c r="K18" s="33">
        <f>D26/SUM($D$24:$D$28)</f>
        <v>0.17095273083517024</v>
      </c>
      <c r="L18" s="33">
        <f>(K18*B6)/(($K$16*$B$4)+($K$17*$B$5)+($K$18*$B$6)+($K$19*$B$7)+($K$20*$B$8))</f>
        <v>0.51321297550554901</v>
      </c>
      <c r="O18" s="33">
        <f t="shared" si="6"/>
        <v>0.34014626822298638</v>
      </c>
      <c r="P18" s="33">
        <f t="shared" si="7"/>
        <v>0.52777760656625694</v>
      </c>
      <c r="R18" s="33">
        <f>(S18/B6)/(($S$16/$B$4)+($S$17/$B$5)+($S$18/$B$6)+($S$19/$B$7)+($S$20/$B$8))</f>
        <v>2.4081043460877073E-2</v>
      </c>
      <c r="S18" s="33">
        <v>4.4400000000000002E-2</v>
      </c>
      <c r="T18" s="9"/>
    </row>
    <row r="19" spans="1:20">
      <c r="A19" s="1" t="s">
        <v>14</v>
      </c>
      <c r="B19" s="32">
        <f>SUM(B14:B18)</f>
        <v>2999999998.9999995</v>
      </c>
      <c r="C19" s="36">
        <f>B19/1000000</f>
        <v>2999.9999989999997</v>
      </c>
      <c r="D19" s="32">
        <f t="shared" si="5"/>
        <v>3306.933928897688</v>
      </c>
      <c r="E19" s="32">
        <f t="shared" si="2"/>
        <v>6613867.8577953773</v>
      </c>
      <c r="F19" s="32">
        <f t="shared" si="3"/>
        <v>2999999.9989999998</v>
      </c>
      <c r="G19" s="2"/>
      <c r="H19" s="1"/>
      <c r="J19" s="18" t="s">
        <v>4</v>
      </c>
      <c r="K19" s="33">
        <f>D27/SUM($D$24:$D$28)</f>
        <v>4.3105559637521438E-3</v>
      </c>
      <c r="L19" s="33">
        <f>(K19*B7)/(($K$16*$B$4)+($K$17*$B$5)+($K$18*$B$6)+($K$19*$B$7)+($K$20*$B$8))</f>
        <v>1.1329406601804943E-2</v>
      </c>
      <c r="O19" s="33">
        <f t="shared" si="6"/>
        <v>4.7851988182302511E-2</v>
      </c>
      <c r="P19" s="33">
        <f t="shared" si="7"/>
        <v>6.5003617438743666E-2</v>
      </c>
      <c r="R19" s="33">
        <f>(S19/B7)/(($S$16/$B$4)+($S$17/$B$5)+($S$18/$B$6)+($S$19/$B$7)+($S$20/$B$8))</f>
        <v>1.3133361607176033E-2</v>
      </c>
      <c r="S19" s="33">
        <v>2.12E-2</v>
      </c>
      <c r="T19" s="9"/>
    </row>
    <row r="20" spans="1:20">
      <c r="A20" s="1"/>
      <c r="F20" s="2"/>
      <c r="J20" s="18" t="s">
        <v>5</v>
      </c>
      <c r="K20" s="33">
        <v>0</v>
      </c>
      <c r="L20" s="33">
        <f>(K20*B8)/(($K$16*$B$4)+($K$17*$B$5)+($K$18*$B$6)+($K$19*$B$7)+($K$20*$B$8))</f>
        <v>0</v>
      </c>
      <c r="O20" s="33">
        <f t="shared" si="6"/>
        <v>3.923088099966097E-3</v>
      </c>
      <c r="P20" s="33">
        <f t="shared" si="7"/>
        <v>1.2200152507613395E-2</v>
      </c>
      <c r="R20" s="33">
        <f>(S20/B8)/(($S$16/$B$4)+($S$17/$B$5)+($S$18/$B$6)+($S$19/$B$7)+($S$20/$B$8))</f>
        <v>1.6615321636664591E-2</v>
      </c>
      <c r="S20" s="33">
        <v>6.1399999999999996E-2</v>
      </c>
      <c r="T20" s="9"/>
    </row>
    <row r="21" spans="1:20">
      <c r="A21" s="1"/>
      <c r="J21" s="19" t="s">
        <v>14</v>
      </c>
      <c r="K21" s="33">
        <f>SUM(K16:K20)</f>
        <v>1</v>
      </c>
      <c r="L21" s="33">
        <f t="shared" ref="L21:P21" si="8">SUM(L16:L20)</f>
        <v>1</v>
      </c>
      <c r="O21" s="33">
        <f t="shared" si="8"/>
        <v>1</v>
      </c>
      <c r="P21" s="33">
        <f t="shared" si="8"/>
        <v>1</v>
      </c>
      <c r="R21" s="33">
        <f t="shared" ref="R21" si="9">SUM(R16:R20)</f>
        <v>0.99999999999999978</v>
      </c>
      <c r="S21" s="33">
        <f>SUM(S16:S20)</f>
        <v>1</v>
      </c>
      <c r="T21" s="9"/>
    </row>
    <row r="23" spans="1:20" ht="47.25">
      <c r="A23" s="37" t="s">
        <v>41</v>
      </c>
      <c r="B23" s="3" t="s">
        <v>15</v>
      </c>
      <c r="C23" s="37" t="s">
        <v>38</v>
      </c>
      <c r="D23" s="3" t="s">
        <v>16</v>
      </c>
      <c r="E23" s="3" t="s">
        <v>17</v>
      </c>
      <c r="F23" s="3" t="s">
        <v>18</v>
      </c>
      <c r="G23" s="3" t="s">
        <v>19</v>
      </c>
      <c r="H23" s="3" t="s">
        <v>22</v>
      </c>
    </row>
    <row r="24" spans="1:20">
      <c r="A24" s="1" t="s">
        <v>7</v>
      </c>
      <c r="B24" s="32">
        <f>$B$12*K4</f>
        <v>76821313.650254399</v>
      </c>
      <c r="C24" s="1" t="s">
        <v>0</v>
      </c>
      <c r="D24" s="32">
        <f>B24+B25+B26</f>
        <v>87106435.685984805</v>
      </c>
      <c r="E24" s="32">
        <f>D24*B4</f>
        <v>1046235399.0243634</v>
      </c>
      <c r="F24" s="32">
        <f>E24/1000000</f>
        <v>1046.2353990243635</v>
      </c>
      <c r="G24" s="32">
        <f>F24*1.10231131</f>
        <v>1153.2771132669188</v>
      </c>
      <c r="H24" s="32">
        <f>F24*2204.62262</f>
        <v>2306554.2265338376</v>
      </c>
      <c r="K24" t="s">
        <v>31</v>
      </c>
      <c r="L24" t="s">
        <v>46</v>
      </c>
    </row>
    <row r="25" spans="1:20">
      <c r="A25" s="1" t="s">
        <v>8</v>
      </c>
      <c r="B25" s="32">
        <f>$B$12*K5</f>
        <v>9706066.9077134058</v>
      </c>
      <c r="C25" s="1" t="s">
        <v>2</v>
      </c>
      <c r="D25" s="32">
        <f>(4*B26)+(2*B27)</f>
        <v>377157906.71506804</v>
      </c>
      <c r="E25" s="32">
        <f>D25*B5</f>
        <v>380137454.1781171</v>
      </c>
      <c r="F25" s="32">
        <f t="shared" ref="F25:F27" si="10">E25/1000000</f>
        <v>380.13745417811708</v>
      </c>
      <c r="G25" s="32">
        <f t="shared" ref="G25:G27" si="11">F25*1.10231131</f>
        <v>419.02981509514518</v>
      </c>
      <c r="H25" s="32">
        <f t="shared" ref="H25:H27" si="12">F25*2204.62262</f>
        <v>838059.63019029051</v>
      </c>
      <c r="K25" t="s">
        <v>32</v>
      </c>
      <c r="L25" s="4" t="s">
        <v>47</v>
      </c>
      <c r="M25" s="4"/>
      <c r="N25" s="4"/>
      <c r="O25" s="4"/>
      <c r="P25" s="4"/>
      <c r="Q25" s="4"/>
      <c r="R25" s="4"/>
      <c r="S25" s="4"/>
    </row>
    <row r="26" spans="1:20">
      <c r="A26" s="1" t="s">
        <v>9</v>
      </c>
      <c r="B26" s="32">
        <f>$B$12*K6</f>
        <v>579055.12801699282</v>
      </c>
      <c r="C26" s="1" t="s">
        <v>3</v>
      </c>
      <c r="D26" s="32">
        <f>B24+(2*B25)</f>
        <v>96233447.46568121</v>
      </c>
      <c r="E26" s="32">
        <f>D26*B6</f>
        <v>1539638926.0034337</v>
      </c>
      <c r="F26" s="32">
        <f t="shared" si="10"/>
        <v>1539.6389260034337</v>
      </c>
      <c r="G26" s="32">
        <f t="shared" si="11"/>
        <v>1697.161401449838</v>
      </c>
      <c r="H26" s="32">
        <f>F26*2204.62262</f>
        <v>3394322.8028996764</v>
      </c>
      <c r="K26" t="s">
        <v>42</v>
      </c>
      <c r="L26" s="4" t="s">
        <v>48</v>
      </c>
      <c r="M26" s="18"/>
      <c r="N26" s="4"/>
      <c r="O26" s="4"/>
      <c r="P26" s="4"/>
      <c r="Q26" s="4"/>
      <c r="R26" s="4"/>
      <c r="S26" s="4"/>
    </row>
    <row r="27" spans="1:20">
      <c r="A27" s="1" t="s">
        <v>10</v>
      </c>
      <c r="B27" s="32">
        <f>$B$12*K7</f>
        <v>187420843.10150003</v>
      </c>
      <c r="C27" s="1" t="s">
        <v>4</v>
      </c>
      <c r="D27" s="32">
        <f>2*B28</f>
        <v>2426516.7269283514</v>
      </c>
      <c r="E27" s="32">
        <f>D27*B7</f>
        <v>33988219.794085421</v>
      </c>
      <c r="F27" s="32">
        <f t="shared" si="10"/>
        <v>33.988219794085424</v>
      </c>
      <c r="G27" s="32">
        <f t="shared" si="11"/>
        <v>37.465599085786231</v>
      </c>
      <c r="H27" s="32">
        <f t="shared" si="12"/>
        <v>74931.198171572469</v>
      </c>
      <c r="L27" s="4"/>
      <c r="M27" s="4"/>
      <c r="N27" s="4"/>
      <c r="O27" s="4"/>
      <c r="P27" s="18"/>
      <c r="Q27" s="18"/>
      <c r="R27" s="4"/>
      <c r="S27" s="18"/>
    </row>
    <row r="28" spans="1:20">
      <c r="A28" s="1" t="s">
        <v>11</v>
      </c>
      <c r="B28" s="32">
        <f>$B$12*K8</f>
        <v>1213258.3634641757</v>
      </c>
      <c r="C28" s="1" t="s">
        <v>5</v>
      </c>
      <c r="D28">
        <v>0</v>
      </c>
      <c r="E28">
        <v>0</v>
      </c>
      <c r="F28">
        <v>0</v>
      </c>
      <c r="G28">
        <v>0</v>
      </c>
      <c r="H28">
        <v>0</v>
      </c>
      <c r="K28" t="s">
        <v>49</v>
      </c>
      <c r="L28" s="4"/>
      <c r="M28" s="4"/>
      <c r="N28" s="4"/>
      <c r="O28" s="4"/>
      <c r="P28" s="18"/>
      <c r="Q28" s="4"/>
      <c r="R28" s="4"/>
      <c r="S28" s="4"/>
    </row>
    <row r="29" spans="1:20">
      <c r="A29" s="1" t="s">
        <v>14</v>
      </c>
      <c r="B29" s="32">
        <f>SUM(B24:B28)</f>
        <v>275740537.150949</v>
      </c>
      <c r="C29" s="34"/>
      <c r="D29" s="32">
        <f t="shared" ref="D29:H29" si="13">SUM(D24:D28)</f>
        <v>562924306.59366238</v>
      </c>
      <c r="E29" s="32">
        <f t="shared" si="13"/>
        <v>2999999999</v>
      </c>
      <c r="F29" s="32">
        <f t="shared" si="13"/>
        <v>2999.9999990000001</v>
      </c>
      <c r="G29" s="32">
        <f t="shared" si="13"/>
        <v>3306.933928897688</v>
      </c>
      <c r="H29" s="32">
        <f t="shared" si="13"/>
        <v>6613867.8577953773</v>
      </c>
      <c r="K29" t="s">
        <v>52</v>
      </c>
      <c r="L29" s="4"/>
      <c r="M29" s="4"/>
      <c r="N29" s="4"/>
      <c r="O29" s="4"/>
      <c r="P29" s="18"/>
      <c r="Q29" s="4"/>
      <c r="R29" s="4"/>
      <c r="S29" s="4"/>
    </row>
    <row r="30" spans="1:20">
      <c r="A30" s="18"/>
      <c r="K30" t="s">
        <v>50</v>
      </c>
      <c r="L30" s="4"/>
      <c r="M30" s="4"/>
      <c r="N30" s="4"/>
      <c r="O30" s="4"/>
      <c r="P30" s="18"/>
      <c r="Q30" s="4"/>
      <c r="R30" s="4"/>
      <c r="S30" s="4"/>
    </row>
    <row r="31" spans="1:20" ht="47.25">
      <c r="A31" s="37" t="s">
        <v>40</v>
      </c>
      <c r="B31" s="3" t="s">
        <v>15</v>
      </c>
      <c r="C31" s="3" t="s">
        <v>39</v>
      </c>
      <c r="D31" s="3" t="s">
        <v>12</v>
      </c>
      <c r="E31" s="3" t="s">
        <v>19</v>
      </c>
      <c r="F31" s="3" t="s">
        <v>22</v>
      </c>
      <c r="L31" s="4"/>
      <c r="M31" s="4"/>
      <c r="N31" s="4"/>
      <c r="O31" s="4"/>
      <c r="P31" s="18"/>
      <c r="Q31" s="4"/>
      <c r="R31" s="4"/>
      <c r="S31" s="4"/>
    </row>
    <row r="32" spans="1:20">
      <c r="A32" s="35" t="s">
        <v>0</v>
      </c>
      <c r="B32" s="32">
        <f>D24/(1-(O5+O11+O6))</f>
        <v>89157047.785040751</v>
      </c>
      <c r="C32" s="32">
        <f>B32*B4</f>
        <v>1070865300.9461244</v>
      </c>
      <c r="D32" s="32">
        <f>C32/1000000</f>
        <v>1070.8653009461245</v>
      </c>
      <c r="E32" s="32">
        <f>D32*1.10231131</f>
        <v>1180.4269327194668</v>
      </c>
      <c r="F32" s="32">
        <f>D32*2204.62262</f>
        <v>2360853.8654389335</v>
      </c>
      <c r="H32" s="3"/>
      <c r="L32" s="4"/>
      <c r="M32" s="4"/>
      <c r="N32" s="4"/>
      <c r="O32" s="4"/>
      <c r="P32" s="18"/>
      <c r="Q32" s="4"/>
      <c r="R32" s="4"/>
      <c r="S32" s="4"/>
    </row>
    <row r="33" spans="1:19">
      <c r="A33" s="35" t="s">
        <v>2</v>
      </c>
      <c r="B33" s="32">
        <f>$B$37*R17</f>
        <v>51019052.769846864</v>
      </c>
      <c r="C33" s="32">
        <f>B33*B5</f>
        <v>51422103.286728658</v>
      </c>
      <c r="D33" s="32">
        <f t="shared" ref="D33:D36" si="14">C33/1000000</f>
        <v>51.422103286728657</v>
      </c>
      <c r="E33" s="32">
        <f t="shared" ref="E33:F37" si="15">D33*1.10231131</f>
        <v>56.683166036949167</v>
      </c>
      <c r="F33" s="32">
        <f t="shared" ref="F33:F36" si="16">D33*2204.62262</f>
        <v>113366.33207389835</v>
      </c>
      <c r="L33" s="4"/>
      <c r="M33" s="4"/>
      <c r="N33" s="4"/>
      <c r="O33" s="4"/>
      <c r="P33" s="18"/>
      <c r="Q33" s="4"/>
      <c r="R33" s="4"/>
      <c r="S33" s="4"/>
    </row>
    <row r="34" spans="1:19">
      <c r="A34" s="35" t="s">
        <v>3</v>
      </c>
      <c r="B34" s="32">
        <f>$B$37*R18</f>
        <v>3567631.3924788302</v>
      </c>
      <c r="C34" s="32">
        <f>B34*B6</f>
        <v>57078534.648268804</v>
      </c>
      <c r="D34" s="32">
        <f t="shared" si="14"/>
        <v>57.078534648268807</v>
      </c>
      <c r="E34" s="32">
        <f t="shared" si="15"/>
        <v>62.918314301013574</v>
      </c>
      <c r="F34" s="32">
        <f t="shared" si="16"/>
        <v>125836.62860202717</v>
      </c>
      <c r="L34" s="4"/>
      <c r="M34" s="4"/>
      <c r="N34" s="4"/>
      <c r="O34" s="4"/>
      <c r="P34" s="4"/>
      <c r="Q34" s="4"/>
      <c r="R34" s="4"/>
      <c r="S34" s="4"/>
    </row>
    <row r="35" spans="1:19">
      <c r="A35" s="35" t="s">
        <v>4</v>
      </c>
      <c r="B35" s="32">
        <f>$B$37*R19</f>
        <v>1945721.0496156339</v>
      </c>
      <c r="C35" s="32">
        <f>B35*B7</f>
        <v>27253714.741966184</v>
      </c>
      <c r="D35" s="32">
        <f t="shared" si="14"/>
        <v>27.253714741966185</v>
      </c>
      <c r="E35" s="32">
        <f t="shared" si="15"/>
        <v>30.042077999583057</v>
      </c>
      <c r="F35" s="32">
        <f t="shared" si="16"/>
        <v>60084.15599916612</v>
      </c>
      <c r="L35" s="4"/>
      <c r="M35" s="4"/>
      <c r="N35" s="4"/>
      <c r="O35" s="4"/>
      <c r="P35" s="4"/>
      <c r="Q35" s="4"/>
      <c r="R35" s="4"/>
      <c r="S35" s="4"/>
    </row>
    <row r="36" spans="1:19">
      <c r="A36" s="18" t="s">
        <v>5</v>
      </c>
      <c r="B36" s="32">
        <f>$B$37*R20</f>
        <v>2461577.0144429756</v>
      </c>
      <c r="C36" s="32">
        <f>B36*B8</f>
        <v>78932928.545128465</v>
      </c>
      <c r="D36" s="32">
        <f t="shared" si="14"/>
        <v>78.932928545128462</v>
      </c>
      <c r="E36" s="32">
        <f t="shared" si="15"/>
        <v>87.00865986671694</v>
      </c>
      <c r="F36" s="32">
        <f t="shared" si="16"/>
        <v>174017.31973343389</v>
      </c>
    </row>
    <row r="37" spans="1:19">
      <c r="A37" s="19" t="s">
        <v>43</v>
      </c>
      <c r="B37" s="32">
        <f>B32/(1-(R17+R18+R19+R20))</f>
        <v>148151030.01142505</v>
      </c>
      <c r="C37" s="32">
        <f t="shared" ref="C37:D37" si="17">SUM(C32:C36)</f>
        <v>1285552582.1682167</v>
      </c>
      <c r="D37" s="32">
        <f>SUM(D32:D36)</f>
        <v>1285.5525821682165</v>
      </c>
      <c r="E37" s="32">
        <f>SUM(E32:E36)</f>
        <v>1417.0791509237295</v>
      </c>
      <c r="F37" s="32">
        <f>SUM(F32:F36)</f>
        <v>2834158.3018474588</v>
      </c>
    </row>
    <row r="39" spans="1:19" ht="63">
      <c r="A39" s="37" t="s">
        <v>44</v>
      </c>
      <c r="B39" s="3" t="s">
        <v>15</v>
      </c>
      <c r="C39" s="3" t="s">
        <v>20</v>
      </c>
      <c r="D39" s="3" t="s">
        <v>12</v>
      </c>
      <c r="E39" s="3" t="s">
        <v>19</v>
      </c>
      <c r="F39" s="3" t="s">
        <v>22</v>
      </c>
      <c r="H39" s="37" t="s">
        <v>45</v>
      </c>
      <c r="I39" s="3" t="s">
        <v>15</v>
      </c>
      <c r="J39" s="3" t="s">
        <v>39</v>
      </c>
      <c r="K39" s="3" t="s">
        <v>12</v>
      </c>
      <c r="L39" s="3" t="s">
        <v>19</v>
      </c>
      <c r="M39" s="3" t="s">
        <v>22</v>
      </c>
    </row>
    <row r="40" spans="1:19">
      <c r="A40" s="18" t="s">
        <v>7</v>
      </c>
      <c r="B40" s="32">
        <f>$B$37*O4</f>
        <v>92786990.096155524</v>
      </c>
      <c r="C40" s="32">
        <f>B40*E4</f>
        <v>2598963592.5933161</v>
      </c>
      <c r="D40" s="32">
        <f>C40/1000000</f>
        <v>2598.9635925933162</v>
      </c>
      <c r="E40" s="32">
        <f>D40*1.10231131</f>
        <v>2864.8669623938445</v>
      </c>
      <c r="F40" s="32">
        <f>D40*2204.62262</f>
        <v>5729733.9247876899</v>
      </c>
      <c r="H40" s="18" t="s">
        <v>0</v>
      </c>
      <c r="I40" s="32">
        <f>B40+B41+B42+B47</f>
        <v>96194463.786418304</v>
      </c>
      <c r="J40" s="32">
        <f>I40*B4</f>
        <v>1155391704.5386701</v>
      </c>
      <c r="K40" s="32">
        <f>J40/1000000</f>
        <v>1155.39170453867</v>
      </c>
      <c r="L40" s="32">
        <f>K40*1.10231131</f>
        <v>1273.6013433931541</v>
      </c>
      <c r="M40" s="32">
        <f>K40*2204.62262</f>
        <v>2547202.6867863084</v>
      </c>
    </row>
    <row r="41" spans="1:19">
      <c r="A41" s="18" t="s">
        <v>8</v>
      </c>
      <c r="B41" s="32">
        <f>$B$37*O5</f>
        <v>3214877.3512479234</v>
      </c>
      <c r="C41" s="32">
        <f t="shared" ref="C41:C48" si="18">B41*E5</f>
        <v>141483537.35106987</v>
      </c>
      <c r="D41" s="32">
        <f t="shared" ref="D41:D47" si="19">C41/1000000</f>
        <v>141.48353735106986</v>
      </c>
      <c r="E41" s="32">
        <f t="shared" ref="E41:E47" si="20">D41*1.10231131</f>
        <v>155.95890340089173</v>
      </c>
      <c r="F41" s="32">
        <f t="shared" ref="F41:F47" si="21">D41*2204.62262</f>
        <v>311917.8068017835</v>
      </c>
      <c r="H41" s="18" t="s">
        <v>2</v>
      </c>
      <c r="I41" s="32">
        <f>(4*B42)+(2*B43)+(2*B45)+(2*B46)</f>
        <v>89809154.392925873</v>
      </c>
      <c r="J41" s="32">
        <f t="shared" ref="J41:J44" si="22">I41*B5</f>
        <v>90518646.712629989</v>
      </c>
      <c r="K41" s="32">
        <f t="shared" ref="K41:K44" si="23">J41/1000000</f>
        <v>90.518646712629987</v>
      </c>
      <c r="L41" s="32">
        <f t="shared" ref="L41:L44" si="24">K41*1.10231131</f>
        <v>99.779728037226349</v>
      </c>
      <c r="M41" s="32">
        <f t="shared" ref="M41:M44" si="25">K41*2204.62262</f>
        <v>199559.45607445273</v>
      </c>
    </row>
    <row r="42" spans="1:19">
      <c r="A42" s="18" t="s">
        <v>9</v>
      </c>
      <c r="B42" s="32">
        <f>$B$37*O6</f>
        <v>133335.92701028255</v>
      </c>
      <c r="C42" s="32">
        <f t="shared" si="18"/>
        <v>2139054.9426551587</v>
      </c>
      <c r="D42" s="32">
        <f t="shared" si="19"/>
        <v>2.1390549426551586</v>
      </c>
      <c r="E42" s="32">
        <f t="shared" si="20"/>
        <v>2.3579044560001825</v>
      </c>
      <c r="F42" s="32">
        <f t="shared" si="21"/>
        <v>4715.808912000366</v>
      </c>
      <c r="H42" s="18" t="s">
        <v>3</v>
      </c>
      <c r="I42" s="32">
        <f>B40+(2*B41)+B45+B47</f>
        <v>104046468.37702383</v>
      </c>
      <c r="J42" s="32">
        <f t="shared" si="22"/>
        <v>1664639447.5640044</v>
      </c>
      <c r="K42" s="32">
        <f t="shared" si="23"/>
        <v>1664.6394475640045</v>
      </c>
      <c r="L42" s="32">
        <f t="shared" si="24"/>
        <v>1834.950890121954</v>
      </c>
      <c r="M42" s="32">
        <f t="shared" si="25"/>
        <v>3669901.7802439085</v>
      </c>
    </row>
    <row r="43" spans="1:19">
      <c r="A43" s="18" t="s">
        <v>10</v>
      </c>
      <c r="B43" s="32">
        <f>$B$40*(O7/$O$4)</f>
        <v>38726679.244986512</v>
      </c>
      <c r="C43" s="32">
        <f t="shared" si="18"/>
        <v>78065240.022043809</v>
      </c>
      <c r="D43" s="32">
        <f t="shared" si="19"/>
        <v>78.06524002204381</v>
      </c>
      <c r="E43" s="32">
        <f t="shared" si="20"/>
        <v>86.052196994163538</v>
      </c>
      <c r="F43" s="32">
        <f t="shared" si="21"/>
        <v>172104.39398832709</v>
      </c>
      <c r="H43" s="18" t="s">
        <v>4</v>
      </c>
      <c r="I43" s="32">
        <f>2*B44</f>
        <v>14637321.765128797</v>
      </c>
      <c r="J43" s="32">
        <f t="shared" si="22"/>
        <v>205024965.96415904</v>
      </c>
      <c r="K43" s="32">
        <f t="shared" si="23"/>
        <v>205.02496596415904</v>
      </c>
      <c r="L43" s="32">
        <f t="shared" si="24"/>
        <v>226.00133881465754</v>
      </c>
      <c r="M43" s="32">
        <f t="shared" si="25"/>
        <v>452002.67762931512</v>
      </c>
    </row>
    <row r="44" spans="1:19">
      <c r="A44" s="18" t="s">
        <v>11</v>
      </c>
      <c r="B44" s="32">
        <f t="shared" ref="B44:B46" si="26">$B$40*(O8/$O$4)</f>
        <v>7318660.8825643985</v>
      </c>
      <c r="C44" s="32">
        <f t="shared" si="18"/>
        <v>205024965.96415904</v>
      </c>
      <c r="D44" s="32">
        <f t="shared" si="19"/>
        <v>205.02496596415904</v>
      </c>
      <c r="E44" s="32">
        <f t="shared" si="20"/>
        <v>226.00133881465754</v>
      </c>
      <c r="F44" s="32">
        <f t="shared" si="21"/>
        <v>452002.67762931512</v>
      </c>
      <c r="H44" s="18" t="s">
        <v>5</v>
      </c>
      <c r="I44" s="32">
        <f>B46+B47</f>
        <v>1200023.3430925431</v>
      </c>
      <c r="J44" s="32">
        <f t="shared" si="22"/>
        <v>38479948.519605488</v>
      </c>
      <c r="K44" s="32">
        <f t="shared" si="23"/>
        <v>38.479948519605486</v>
      </c>
      <c r="L44" s="32">
        <f t="shared" si="24"/>
        <v>42.416882461378883</v>
      </c>
      <c r="M44" s="32">
        <f t="shared" si="25"/>
        <v>84833.764922757779</v>
      </c>
    </row>
    <row r="45" spans="1:19">
      <c r="A45" s="18" t="s">
        <v>23</v>
      </c>
      <c r="B45" s="32">
        <f t="shared" si="26"/>
        <v>4770463.1663678866</v>
      </c>
      <c r="C45" s="32">
        <f t="shared" si="18"/>
        <v>85938939.849484205</v>
      </c>
      <c r="D45" s="32">
        <f t="shared" si="19"/>
        <v>85.9389398494842</v>
      </c>
      <c r="E45" s="32">
        <f t="shared" si="20"/>
        <v>94.731465365496121</v>
      </c>
      <c r="F45" s="32">
        <f t="shared" si="21"/>
        <v>189462.93073099226</v>
      </c>
      <c r="H45" s="19" t="s">
        <v>14</v>
      </c>
      <c r="I45" s="32">
        <f>SUM(I40:I44)</f>
        <v>305887431.66458935</v>
      </c>
      <c r="J45" s="32">
        <f t="shared" ref="J45:M45" si="27">SUM(J40:J44)</f>
        <v>3154054713.2990694</v>
      </c>
      <c r="K45" s="32">
        <f t="shared" si="27"/>
        <v>3154.0547132990691</v>
      </c>
      <c r="L45" s="32">
        <f t="shared" si="27"/>
        <v>3476.7501828283707</v>
      </c>
      <c r="M45" s="32">
        <f t="shared" si="27"/>
        <v>6953500.3656567428</v>
      </c>
    </row>
    <row r="46" spans="1:19">
      <c r="A46" s="18" t="s">
        <v>24</v>
      </c>
      <c r="B46" s="32">
        <f t="shared" si="26"/>
        <v>1140762.9310879731</v>
      </c>
      <c r="C46" s="32">
        <f t="shared" si="18"/>
        <v>38879254.064754084</v>
      </c>
      <c r="D46" s="32">
        <f t="shared" si="19"/>
        <v>38.879254064754086</v>
      </c>
      <c r="E46" s="32">
        <f t="shared" si="20"/>
        <v>42.857041479941898</v>
      </c>
      <c r="F46" s="32">
        <f t="shared" si="21"/>
        <v>85714.082959883803</v>
      </c>
    </row>
    <row r="47" spans="1:19">
      <c r="A47" s="18" t="s">
        <v>25</v>
      </c>
      <c r="B47" s="32">
        <f>$B$37*O11</f>
        <v>59260.412004570026</v>
      </c>
      <c r="C47" s="32">
        <f t="shared" si="18"/>
        <v>3560128.5115865488</v>
      </c>
      <c r="D47" s="32">
        <f t="shared" si="19"/>
        <v>3.5601285115865489</v>
      </c>
      <c r="E47" s="32">
        <f t="shared" si="20"/>
        <v>3.9243699233753184</v>
      </c>
      <c r="F47" s="32">
        <f t="shared" si="21"/>
        <v>7848.7398467506382</v>
      </c>
    </row>
    <row r="48" spans="1:19">
      <c r="A48" s="19" t="s">
        <v>14</v>
      </c>
      <c r="B48" s="32">
        <f>SUM(B40:B47)</f>
        <v>148151030.01142505</v>
      </c>
      <c r="C48" s="32">
        <f t="shared" ref="C48:D48" si="28">SUM(C40:C47)</f>
        <v>3154054713.2990685</v>
      </c>
      <c r="D48" s="32">
        <f t="shared" si="28"/>
        <v>3154.0547132990691</v>
      </c>
      <c r="E48" s="32">
        <f t="shared" ref="E48" si="29">SUM(E40:E47)</f>
        <v>3476.7501828283712</v>
      </c>
      <c r="F48" s="32">
        <f t="shared" ref="F48" si="30">SUM(F40:F47)</f>
        <v>6953500.3656567438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2011-02-10T04:42:11Z</dcterms:created>
  <dcterms:modified xsi:type="dcterms:W3CDTF">2011-02-11T06:50:22Z</dcterms:modified>
</cp:coreProperties>
</file>