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55" windowWidth="15600" windowHeight="7815" activeTab="1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23" i="2" l="1"/>
  <c r="K16" i="2"/>
  <c r="L16" i="2" s="1"/>
  <c r="K18" i="2"/>
  <c r="L18" i="2"/>
  <c r="F46" i="2"/>
  <c r="F45" i="2"/>
  <c r="F44" i="2"/>
  <c r="F43" i="2"/>
  <c r="F42" i="2"/>
  <c r="F41" i="2"/>
  <c r="F40" i="2"/>
  <c r="F39" i="2"/>
  <c r="F38" i="2"/>
  <c r="F37" i="2"/>
  <c r="F36" i="2"/>
  <c r="F35" i="2"/>
  <c r="E45" i="2"/>
  <c r="E44" i="2"/>
  <c r="E43" i="2"/>
  <c r="E42" i="2"/>
  <c r="E41" i="2"/>
  <c r="E40" i="2"/>
  <c r="E39" i="2"/>
  <c r="E38" i="2"/>
  <c r="E37" i="2"/>
  <c r="E36" i="2"/>
  <c r="E35" i="2"/>
  <c r="C37" i="2"/>
  <c r="D16" i="2"/>
  <c r="C16" i="2"/>
  <c r="K20" i="2" l="1"/>
  <c r="L20" i="2" s="1"/>
  <c r="K4" i="2" l="1"/>
  <c r="I24" i="2"/>
  <c r="H24" i="2"/>
  <c r="I22" i="2"/>
  <c r="I21" i="2"/>
  <c r="I20" i="2"/>
  <c r="I19" i="2"/>
  <c r="I18" i="2"/>
  <c r="I17" i="2"/>
  <c r="H17" i="2"/>
  <c r="H13" i="2" l="1"/>
  <c r="K7" i="2"/>
  <c r="K6" i="2"/>
  <c r="K5" i="2"/>
  <c r="C9" i="2" l="1"/>
  <c r="C6" i="2"/>
  <c r="E6" i="2" s="1"/>
  <c r="H20" i="2" s="1"/>
  <c r="C7" i="2"/>
  <c r="E7" i="2" s="1"/>
  <c r="C8" i="2"/>
  <c r="E8" i="2" s="1"/>
  <c r="E9" i="2"/>
  <c r="C5" i="2"/>
  <c r="E5" i="2" s="1"/>
  <c r="H19" i="2" s="1"/>
  <c r="K9" i="2"/>
  <c r="K8" i="2"/>
  <c r="B10" i="2"/>
  <c r="C10" i="2" l="1"/>
  <c r="L18" i="1"/>
  <c r="L14" i="1"/>
  <c r="L12" i="1"/>
  <c r="D37" i="1"/>
  <c r="J18" i="1"/>
  <c r="J14" i="1"/>
  <c r="J12" i="1"/>
  <c r="K12" i="1"/>
  <c r="I12" i="1"/>
  <c r="I13" i="1"/>
  <c r="I14" i="1"/>
  <c r="I15" i="1"/>
  <c r="I16" i="1"/>
  <c r="I18" i="1"/>
  <c r="I19" i="1"/>
  <c r="H13" i="1"/>
  <c r="H19" i="1"/>
  <c r="H18" i="1"/>
  <c r="H16" i="1"/>
  <c r="H15" i="1"/>
  <c r="H14" i="1"/>
  <c r="B17" i="1"/>
  <c r="H12" i="1"/>
  <c r="B35" i="1"/>
  <c r="G21" i="1"/>
  <c r="G20" i="1"/>
  <c r="G19" i="1"/>
  <c r="G18" i="1"/>
  <c r="G16" i="1"/>
  <c r="D15" i="1"/>
  <c r="C15" i="1"/>
  <c r="G15" i="1"/>
  <c r="G14" i="1"/>
  <c r="G12" i="1"/>
  <c r="H22" i="2" l="1"/>
  <c r="H21" i="2" s="1"/>
  <c r="H18" i="2"/>
  <c r="L20" i="1"/>
  <c r="D28" i="1"/>
  <c r="D27" i="1"/>
  <c r="D26" i="1"/>
  <c r="D25" i="1"/>
  <c r="D24" i="1"/>
  <c r="D23" i="1"/>
  <c r="D22" i="1"/>
  <c r="D21" i="1"/>
  <c r="D20" i="1"/>
  <c r="D12" i="1" l="1"/>
  <c r="C13" i="1"/>
  <c r="C14" i="1"/>
  <c r="D14" i="1" s="1"/>
  <c r="C16" i="1"/>
  <c r="D16" i="1" s="1"/>
  <c r="C12" i="1"/>
  <c r="C8" i="1"/>
  <c r="D32" i="1" l="1"/>
  <c r="D13" i="1"/>
  <c r="I23" i="2" l="1"/>
</calcChain>
</file>

<file path=xl/sharedStrings.xml><?xml version="1.0" encoding="utf-8"?>
<sst xmlns="http://schemas.openxmlformats.org/spreadsheetml/2006/main" count="160" uniqueCount="86">
  <si>
    <t>Component</t>
  </si>
  <si>
    <t>Weight Percent</t>
  </si>
  <si>
    <t>Carbon</t>
  </si>
  <si>
    <t>Hydrogen</t>
  </si>
  <si>
    <t>Nitrogen</t>
  </si>
  <si>
    <t>Sulfur</t>
  </si>
  <si>
    <t>Oxygen</t>
  </si>
  <si>
    <t>Feed In</t>
  </si>
  <si>
    <t>lbm</t>
  </si>
  <si>
    <t>2000 ton =</t>
  </si>
  <si>
    <t>moles</t>
  </si>
  <si>
    <t>V</t>
  </si>
  <si>
    <t>Ni</t>
  </si>
  <si>
    <t>F</t>
  </si>
  <si>
    <t>Cu</t>
  </si>
  <si>
    <t>Mg</t>
  </si>
  <si>
    <t>Se</t>
  </si>
  <si>
    <t>Be</t>
  </si>
  <si>
    <t>Pb</t>
  </si>
  <si>
    <t>As</t>
  </si>
  <si>
    <t>Cd</t>
  </si>
  <si>
    <t>Hg</t>
  </si>
  <si>
    <t>1300-9200</t>
  </si>
  <si>
    <t>660-2320</t>
  </si>
  <si>
    <t>&lt; 8</t>
  </si>
  <si>
    <t>25.52- 180.6</t>
  </si>
  <si>
    <t>11.24- 39.52</t>
  </si>
  <si>
    <t>water In</t>
  </si>
  <si>
    <t>?</t>
  </si>
  <si>
    <t>oxygen In</t>
  </si>
  <si>
    <t>CO</t>
  </si>
  <si>
    <t>H2</t>
  </si>
  <si>
    <t>CO2</t>
  </si>
  <si>
    <t>H2O</t>
  </si>
  <si>
    <t>H2S</t>
  </si>
  <si>
    <t>COS</t>
  </si>
  <si>
    <t>N2</t>
  </si>
  <si>
    <t>MW</t>
  </si>
  <si>
    <t>unreacted carbon</t>
  </si>
  <si>
    <t>total</t>
  </si>
  <si>
    <t>Total</t>
  </si>
  <si>
    <t>PPM</t>
  </si>
  <si>
    <t>325-2300</t>
  </si>
  <si>
    <t>165-580</t>
  </si>
  <si>
    <t>&lt;2</t>
  </si>
  <si>
    <t>&lt;0.1</t>
  </si>
  <si>
    <t>lbm-moles</t>
  </si>
  <si>
    <t>Molecular weight</t>
  </si>
  <si>
    <t>lb-moles</t>
  </si>
  <si>
    <t xml:space="preserve">Components  of the feed </t>
  </si>
  <si>
    <t>Component of the syn gas</t>
  </si>
  <si>
    <t>mole percent</t>
  </si>
  <si>
    <t>mole % conversion of C into CO</t>
  </si>
  <si>
    <t>mole % conversion of C into CO2</t>
  </si>
  <si>
    <t>mole % conversion of C into COS</t>
  </si>
  <si>
    <t>mole % conversion of S into H2S</t>
  </si>
  <si>
    <t>mole% conversion of S into COS</t>
  </si>
  <si>
    <t>&lt;8</t>
  </si>
  <si>
    <t>lbm-moles produced in the gasifier</t>
  </si>
  <si>
    <t xml:space="preserve">0.5 % carbon unconverted </t>
  </si>
  <si>
    <r>
      <t>Carbon out with the ash = (</t>
    </r>
    <r>
      <rPr>
        <sz val="11"/>
        <color rgb="FF000000"/>
        <rFont val="Calibri"/>
        <family val="2"/>
        <scheme val="minor"/>
      </rPr>
      <t>3332000* 0.005) =166600 lbm = 13871.77 lbm-moles</t>
    </r>
  </si>
  <si>
    <t>Weight (ton)</t>
  </si>
  <si>
    <t>Total moles of Oxygen needed=</t>
  </si>
  <si>
    <t>Total moles of Water needed=</t>
  </si>
  <si>
    <t xml:space="preserve">total of moles of N2 in = </t>
  </si>
  <si>
    <t>V2O5</t>
  </si>
  <si>
    <t>MgO</t>
  </si>
  <si>
    <t>NiO</t>
  </si>
  <si>
    <t xml:space="preserve">lbm-moles </t>
  </si>
  <si>
    <t>mole % conversion of C into CH4</t>
  </si>
  <si>
    <t>Fe</t>
  </si>
  <si>
    <t>CH4</t>
  </si>
  <si>
    <t>1 us ton = 0.90718474 metric ton</t>
  </si>
  <si>
    <t>BASIS: Feed In = 2000 ton petcoke=1814.37 metric ton</t>
  </si>
  <si>
    <t>Fe2O3</t>
  </si>
  <si>
    <t>CuO</t>
  </si>
  <si>
    <t>SeO2</t>
  </si>
  <si>
    <t>BeO</t>
  </si>
  <si>
    <t>PbO2</t>
  </si>
  <si>
    <t>AS2O3</t>
  </si>
  <si>
    <t>CdO</t>
  </si>
  <si>
    <t>HgO</t>
  </si>
  <si>
    <t>lb-moles in ash</t>
  </si>
  <si>
    <t>lb-moles O needed</t>
  </si>
  <si>
    <t>ash component</t>
  </si>
  <si>
    <t>Weight (metric 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</si>
</sst>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vertical="center"/>
    </xf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left" vertical="center" indent="5"/>
    </xf>
    <xf numFmtId="0" fontId="1" fillId="0" borderId="2" xfId="0" applyFont="1" applyFill="1" applyBorder="1"/>
    <xf numFmtId="0" fontId="0" fillId="0" borderId="1" xfId="0" applyFill="1" applyBorder="1"/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L37"/>
  <sheetViews>
    <sheetView topLeftCell="A9" workbookViewId="0">
      <selection activeCell="C18" sqref="C18:C28"/>
    </sheetView>
  </sheetViews>
  <sheetFormatPr defaultRowHeight="15" x14ac:dyDescent="0.25"/>
  <cols>
    <col min="1" max="1" width="13.28515625" customWidth="1"/>
    <col min="2" max="2" width="19.42578125" customWidth="1"/>
    <col min="4" max="4" width="12.140625" customWidth="1"/>
  </cols>
  <sheetData>
    <row r="7" spans="1:12" x14ac:dyDescent="0.25">
      <c r="A7" t="s">
        <v>29</v>
      </c>
    </row>
    <row r="8" spans="1:12" x14ac:dyDescent="0.25">
      <c r="A8" t="s">
        <v>7</v>
      </c>
      <c r="B8" t="s">
        <v>9</v>
      </c>
      <c r="C8">
        <f>2000*2000</f>
        <v>4000000</v>
      </c>
      <c r="D8" t="s">
        <v>8</v>
      </c>
    </row>
    <row r="9" spans="1:12" x14ac:dyDescent="0.25">
      <c r="A9" t="s">
        <v>27</v>
      </c>
      <c r="B9" t="s">
        <v>28</v>
      </c>
    </row>
    <row r="11" spans="1:12" x14ac:dyDescent="0.25">
      <c r="A11" t="s">
        <v>0</v>
      </c>
      <c r="B11" t="s">
        <v>1</v>
      </c>
      <c r="C11" t="s">
        <v>8</v>
      </c>
      <c r="D11" t="s">
        <v>10</v>
      </c>
      <c r="G11" t="s">
        <v>37</v>
      </c>
      <c r="L11" t="s">
        <v>8</v>
      </c>
    </row>
    <row r="12" spans="1:12" x14ac:dyDescent="0.25">
      <c r="A12" t="s">
        <v>2</v>
      </c>
      <c r="B12">
        <v>83.3</v>
      </c>
      <c r="C12">
        <f>B12*4000000/100</f>
        <v>3332000</v>
      </c>
      <c r="D12" s="1">
        <f>C12/12.01</f>
        <v>277435.47044129891</v>
      </c>
      <c r="F12" t="s">
        <v>30</v>
      </c>
      <c r="G12">
        <f>12.01+16</f>
        <v>28.009999999999998</v>
      </c>
      <c r="H12">
        <f>214.22*0.6263</f>
        <v>134.165986</v>
      </c>
      <c r="I12">
        <f>H12/G12</f>
        <v>4.7899316672616923</v>
      </c>
      <c r="J12">
        <f>K12*I12</f>
        <v>269954.69651944231</v>
      </c>
      <c r="K12">
        <f>276048.293089092/(I12+I14+I18)</f>
        <v>56358.778219015803</v>
      </c>
      <c r="L12">
        <f>J12*12.01</f>
        <v>3242155.9051985019</v>
      </c>
    </row>
    <row r="13" spans="1:12" x14ac:dyDescent="0.25">
      <c r="A13" t="s">
        <v>3</v>
      </c>
      <c r="B13">
        <v>4</v>
      </c>
      <c r="C13">
        <f t="shared" ref="C13:C16" si="0">B13*4000000/100</f>
        <v>160000</v>
      </c>
      <c r="D13" s="1">
        <f>C13/2.02</f>
        <v>79207.920792079211</v>
      </c>
      <c r="F13" t="s">
        <v>31</v>
      </c>
      <c r="G13">
        <v>2.02</v>
      </c>
      <c r="H13">
        <f>G20*0.2614</f>
        <v>55.997107999999997</v>
      </c>
      <c r="I13">
        <f t="shared" ref="I13:I19" si="1">H13/G13</f>
        <v>27.721340594059406</v>
      </c>
    </row>
    <row r="14" spans="1:12" x14ac:dyDescent="0.25">
      <c r="A14" t="s">
        <v>4</v>
      </c>
      <c r="B14">
        <v>1.49</v>
      </c>
      <c r="C14">
        <f t="shared" si="0"/>
        <v>59600</v>
      </c>
      <c r="D14" s="1">
        <f>C14/28</f>
        <v>2128.5714285714284</v>
      </c>
      <c r="F14" t="s">
        <v>32</v>
      </c>
      <c r="G14">
        <f>12.01+16+16</f>
        <v>44.01</v>
      </c>
      <c r="H14">
        <f>0.0217*214.22</f>
        <v>4.648574</v>
      </c>
      <c r="I14">
        <f t="shared" si="1"/>
        <v>0.10562540331742787</v>
      </c>
      <c r="J14">
        <f>K12*I14</f>
        <v>5952.9186798610135</v>
      </c>
      <c r="L14">
        <f>J14*12.01</f>
        <v>71494.553345130771</v>
      </c>
    </row>
    <row r="15" spans="1:12" x14ac:dyDescent="0.25">
      <c r="A15" t="s">
        <v>5</v>
      </c>
      <c r="B15">
        <v>6.14</v>
      </c>
      <c r="C15">
        <f>B15*4000000/100</f>
        <v>245600</v>
      </c>
      <c r="D15" s="1">
        <f>C15/32.065</f>
        <v>7659.4417589271798</v>
      </c>
      <c r="F15" t="s">
        <v>33</v>
      </c>
      <c r="G15">
        <f>2.02+16</f>
        <v>18.02</v>
      </c>
      <c r="H15">
        <f>0.0322*G20</f>
        <v>6.8978839999999986</v>
      </c>
      <c r="I15">
        <f t="shared" si="1"/>
        <v>0.38279045504994441</v>
      </c>
    </row>
    <row r="16" spans="1:12" x14ac:dyDescent="0.25">
      <c r="A16" t="s">
        <v>6</v>
      </c>
      <c r="B16">
        <v>4.4400000000000004</v>
      </c>
      <c r="C16">
        <f t="shared" si="0"/>
        <v>177600</v>
      </c>
      <c r="D16" s="1">
        <f>C16/32</f>
        <v>5550</v>
      </c>
      <c r="F16" t="s">
        <v>34</v>
      </c>
      <c r="G16">
        <f>2.02+32.065</f>
        <v>34.085000000000001</v>
      </c>
      <c r="H16">
        <f>0.0077*214.22</f>
        <v>1.649494</v>
      </c>
      <c r="I16">
        <f t="shared" si="1"/>
        <v>4.8393545547894969E-2</v>
      </c>
    </row>
    <row r="17" spans="1:12" x14ac:dyDescent="0.25">
      <c r="A17" t="s">
        <v>39</v>
      </c>
      <c r="B17">
        <f>B12+B13+B14+B15+B16</f>
        <v>99.36999999999999</v>
      </c>
      <c r="D17" s="1"/>
    </row>
    <row r="18" spans="1:12" x14ac:dyDescent="0.25">
      <c r="A18" t="s">
        <v>11</v>
      </c>
      <c r="C18" t="s">
        <v>22</v>
      </c>
      <c r="D18" s="1" t="s">
        <v>25</v>
      </c>
      <c r="F18" t="s">
        <v>35</v>
      </c>
      <c r="G18">
        <f>12.01+16+32.065</f>
        <v>60.074999999999996</v>
      </c>
      <c r="H18">
        <f>214.22*0.0007</f>
        <v>0.149954</v>
      </c>
      <c r="I18">
        <f t="shared" si="1"/>
        <v>2.4961131918435292E-3</v>
      </c>
      <c r="J18">
        <f>K12*I18</f>
        <v>140.67788978866912</v>
      </c>
      <c r="L18">
        <f>J18*12.01</f>
        <v>1689.5414563619161</v>
      </c>
    </row>
    <row r="19" spans="1:12" x14ac:dyDescent="0.25">
      <c r="A19" t="s">
        <v>12</v>
      </c>
      <c r="C19" t="s">
        <v>23</v>
      </c>
      <c r="D19" s="1" t="s">
        <v>26</v>
      </c>
      <c r="F19" t="s">
        <v>36</v>
      </c>
      <c r="G19">
        <f>28</f>
        <v>28</v>
      </c>
      <c r="H19">
        <f>0.00494*214.22</f>
        <v>1.0582468</v>
      </c>
      <c r="I19">
        <f t="shared" si="1"/>
        <v>3.7794528571428572E-2</v>
      </c>
    </row>
    <row r="20" spans="1:12" x14ac:dyDescent="0.25">
      <c r="A20" t="s">
        <v>13</v>
      </c>
      <c r="C20">
        <v>44</v>
      </c>
      <c r="D20" s="1">
        <f>C20/19.998</f>
        <v>2.2002200220021999</v>
      </c>
      <c r="G20">
        <f>SUM(G12:G19)</f>
        <v>214.21999999999997</v>
      </c>
      <c r="L20">
        <f>L12+L14+L18</f>
        <v>3315339.9999999944</v>
      </c>
    </row>
    <row r="21" spans="1:12" ht="30" x14ac:dyDescent="0.25">
      <c r="A21" t="s">
        <v>14</v>
      </c>
      <c r="C21">
        <v>14</v>
      </c>
      <c r="D21" s="1">
        <f>C21/63.546</f>
        <v>0.22031284423881914</v>
      </c>
      <c r="F21" s="2" t="s">
        <v>38</v>
      </c>
      <c r="G21">
        <f>0.005*C12</f>
        <v>16660</v>
      </c>
      <c r="H21" t="s">
        <v>8</v>
      </c>
    </row>
    <row r="22" spans="1:12" x14ac:dyDescent="0.25">
      <c r="A22" t="s">
        <v>15</v>
      </c>
      <c r="C22">
        <v>9.6</v>
      </c>
      <c r="D22" s="1">
        <f>9.6/24.305</f>
        <v>0.39498045669615306</v>
      </c>
    </row>
    <row r="23" spans="1:12" x14ac:dyDescent="0.25">
      <c r="A23" t="s">
        <v>16</v>
      </c>
      <c r="C23" t="s">
        <v>24</v>
      </c>
      <c r="D23" s="1">
        <f>8/78.96</f>
        <v>0.10131712259371835</v>
      </c>
    </row>
    <row r="24" spans="1:12" x14ac:dyDescent="0.25">
      <c r="A24" t="s">
        <v>17</v>
      </c>
      <c r="C24">
        <v>6</v>
      </c>
      <c r="D24" s="1">
        <f>6/9.0122</f>
        <v>0.66576418632520362</v>
      </c>
      <c r="F24" t="s">
        <v>11</v>
      </c>
      <c r="G24" t="s">
        <v>22</v>
      </c>
    </row>
    <row r="25" spans="1:12" x14ac:dyDescent="0.25">
      <c r="A25" t="s">
        <v>18</v>
      </c>
      <c r="C25">
        <v>2.4</v>
      </c>
      <c r="D25" s="1">
        <f>C25/207.2</f>
        <v>1.1583011583011582E-2</v>
      </c>
      <c r="F25" t="s">
        <v>12</v>
      </c>
      <c r="G25" t="s">
        <v>23</v>
      </c>
    </row>
    <row r="26" spans="1:12" x14ac:dyDescent="0.25">
      <c r="A26" t="s">
        <v>19</v>
      </c>
      <c r="C26">
        <v>1.2</v>
      </c>
      <c r="D26" s="1">
        <f>1.2/74.922</f>
        <v>1.6016657323616561E-2</v>
      </c>
      <c r="F26" t="s">
        <v>13</v>
      </c>
      <c r="G26">
        <v>44</v>
      </c>
    </row>
    <row r="27" spans="1:12" x14ac:dyDescent="0.25">
      <c r="A27" t="s">
        <v>20</v>
      </c>
      <c r="C27">
        <v>0.4</v>
      </c>
      <c r="D27" s="1">
        <f>C27/112.41</f>
        <v>3.5584022773774578E-3</v>
      </c>
      <c r="F27" t="s">
        <v>14</v>
      </c>
      <c r="G27">
        <v>14</v>
      </c>
    </row>
    <row r="28" spans="1:12" x14ac:dyDescent="0.25">
      <c r="A28" t="s">
        <v>21</v>
      </c>
      <c r="C28">
        <v>0.04</v>
      </c>
      <c r="D28" s="1">
        <f>C28/200.59</f>
        <v>1.9941173538062714E-4</v>
      </c>
      <c r="F28" t="s">
        <v>15</v>
      </c>
      <c r="G28">
        <v>9.6</v>
      </c>
    </row>
    <row r="29" spans="1:12" x14ac:dyDescent="0.25">
      <c r="F29" t="s">
        <v>16</v>
      </c>
      <c r="G29" t="s">
        <v>24</v>
      </c>
    </row>
    <row r="30" spans="1:12" x14ac:dyDescent="0.25">
      <c r="F30" t="s">
        <v>17</v>
      </c>
      <c r="G30">
        <v>6</v>
      </c>
    </row>
    <row r="31" spans="1:12" x14ac:dyDescent="0.25">
      <c r="F31" t="s">
        <v>18</v>
      </c>
      <c r="G31">
        <v>2.4</v>
      </c>
    </row>
    <row r="32" spans="1:12" x14ac:dyDescent="0.25">
      <c r="D32">
        <f>SUM(C12:C16)</f>
        <v>3974800</v>
      </c>
      <c r="F32" t="s">
        <v>19</v>
      </c>
      <c r="G32">
        <v>1.2</v>
      </c>
    </row>
    <row r="33" spans="2:7" x14ac:dyDescent="0.25">
      <c r="F33" t="s">
        <v>20</v>
      </c>
      <c r="G33">
        <v>0.4</v>
      </c>
    </row>
    <row r="34" spans="2:7" x14ac:dyDescent="0.25">
      <c r="F34" t="s">
        <v>21</v>
      </c>
      <c r="G34">
        <v>0.04</v>
      </c>
    </row>
    <row r="35" spans="2:7" x14ac:dyDescent="0.25">
      <c r="B35">
        <f>D12-(G21/12.01)</f>
        <v>276048.29308909242</v>
      </c>
    </row>
    <row r="37" spans="2:7" x14ac:dyDescent="0.25">
      <c r="D37">
        <f>C12-G21</f>
        <v>3315340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6"/>
  <sheetViews>
    <sheetView tabSelected="1" workbookViewId="0">
      <selection activeCell="K20" sqref="K20"/>
    </sheetView>
  </sheetViews>
  <sheetFormatPr defaultRowHeight="15" x14ac:dyDescent="0.25"/>
  <cols>
    <col min="1" max="1" width="14" customWidth="1"/>
    <col min="2" max="2" width="16.28515625" customWidth="1"/>
    <col min="3" max="3" width="17.28515625" customWidth="1"/>
    <col min="4" max="4" width="16.85546875" customWidth="1"/>
    <col min="7" max="7" width="13.140625" customWidth="1"/>
    <col min="8" max="8" width="14.28515625" customWidth="1"/>
    <col min="9" max="9" width="13.7109375" customWidth="1"/>
    <col min="10" max="10" width="31" customWidth="1"/>
    <col min="11" max="11" width="15.28515625" customWidth="1"/>
    <col min="12" max="12" width="13.85546875" customWidth="1"/>
  </cols>
  <sheetData>
    <row r="2" spans="1:12" x14ac:dyDescent="0.25">
      <c r="A2" t="s">
        <v>73</v>
      </c>
      <c r="E2" t="s">
        <v>72</v>
      </c>
    </row>
    <row r="3" spans="1:12" x14ac:dyDescent="0.25">
      <c r="A3" t="s">
        <v>49</v>
      </c>
      <c r="G3" t="s">
        <v>50</v>
      </c>
    </row>
    <row r="4" spans="1:12" x14ac:dyDescent="0.25">
      <c r="A4" s="3" t="s">
        <v>0</v>
      </c>
      <c r="B4" s="3" t="s">
        <v>1</v>
      </c>
      <c r="C4" s="3" t="s">
        <v>8</v>
      </c>
      <c r="D4" s="3" t="s">
        <v>47</v>
      </c>
      <c r="E4" s="3" t="s">
        <v>48</v>
      </c>
      <c r="G4" s="3" t="s">
        <v>0</v>
      </c>
      <c r="H4" s="3" t="s">
        <v>51</v>
      </c>
      <c r="J4" s="8" t="s">
        <v>69</v>
      </c>
      <c r="K4">
        <f>H11/(H11+H10+H7+H5)*100</f>
        <v>0.13861081164330816</v>
      </c>
    </row>
    <row r="5" spans="1:12" x14ac:dyDescent="0.25">
      <c r="A5" s="3" t="s">
        <v>2</v>
      </c>
      <c r="B5" s="4">
        <v>83.3</v>
      </c>
      <c r="C5" s="4">
        <f>B5*2000*2000/100</f>
        <v>3332000</v>
      </c>
      <c r="D5" s="4">
        <v>12.01</v>
      </c>
      <c r="E5" s="4">
        <f>C5/D5</f>
        <v>277435.47044129891</v>
      </c>
      <c r="G5" s="4" t="s">
        <v>30</v>
      </c>
      <c r="H5" s="4">
        <v>62.63</v>
      </c>
      <c r="J5" s="4" t="s">
        <v>52</v>
      </c>
      <c r="K5" s="4">
        <f>H5/(H11+H5+H7+H10)*100</f>
        <v>96.457723702448789</v>
      </c>
    </row>
    <row r="6" spans="1:12" x14ac:dyDescent="0.25">
      <c r="A6" s="3" t="s">
        <v>3</v>
      </c>
      <c r="B6" s="4">
        <v>4</v>
      </c>
      <c r="C6" s="4">
        <f t="shared" ref="C6:C8" si="0">B6*2000*2000/100</f>
        <v>160000</v>
      </c>
      <c r="D6" s="4">
        <v>1.01</v>
      </c>
      <c r="E6" s="4">
        <f t="shared" ref="E6:E9" si="1">C6/D6</f>
        <v>158415.84158415842</v>
      </c>
      <c r="G6" s="4" t="s">
        <v>31</v>
      </c>
      <c r="H6" s="4">
        <v>26.14</v>
      </c>
      <c r="J6" s="4" t="s">
        <v>53</v>
      </c>
      <c r="K6" s="4">
        <f>H7/(H11+H5+H7+H10)*100</f>
        <v>3.3420606807330966</v>
      </c>
    </row>
    <row r="7" spans="1:12" x14ac:dyDescent="0.25">
      <c r="A7" s="3" t="s">
        <v>4</v>
      </c>
      <c r="B7" s="4">
        <v>1.49</v>
      </c>
      <c r="C7" s="4">
        <f t="shared" si="0"/>
        <v>59600</v>
      </c>
      <c r="D7" s="4">
        <v>14</v>
      </c>
      <c r="E7" s="4">
        <f t="shared" si="1"/>
        <v>4257.1428571428569</v>
      </c>
      <c r="G7" s="4" t="s">
        <v>32</v>
      </c>
      <c r="H7" s="4">
        <v>2.17</v>
      </c>
      <c r="J7" s="4" t="s">
        <v>54</v>
      </c>
      <c r="K7" s="4">
        <f>H7/(H11+H5+H7+H10)</f>
        <v>3.3420606807330965E-2</v>
      </c>
    </row>
    <row r="8" spans="1:12" x14ac:dyDescent="0.25">
      <c r="A8" s="3" t="s">
        <v>5</v>
      </c>
      <c r="B8" s="4">
        <v>6.14</v>
      </c>
      <c r="C8" s="4">
        <f t="shared" si="0"/>
        <v>245600</v>
      </c>
      <c r="D8" s="4">
        <v>32.064999999999998</v>
      </c>
      <c r="E8" s="4">
        <f t="shared" si="1"/>
        <v>7659.4417589271798</v>
      </c>
      <c r="G8" s="4" t="s">
        <v>33</v>
      </c>
      <c r="H8" s="4">
        <v>3.22</v>
      </c>
      <c r="J8" s="4" t="s">
        <v>55</v>
      </c>
      <c r="K8" s="4">
        <f>H9/(H9+H10)*100</f>
        <v>95.061728395061735</v>
      </c>
    </row>
    <row r="9" spans="1:12" x14ac:dyDescent="0.25">
      <c r="A9" s="3" t="s">
        <v>6</v>
      </c>
      <c r="B9" s="4">
        <v>4.4400000000000004</v>
      </c>
      <c r="C9" s="4">
        <f>B9*2000*2000/100</f>
        <v>177600</v>
      </c>
      <c r="D9" s="4">
        <v>16</v>
      </c>
      <c r="E9" s="4">
        <f t="shared" si="1"/>
        <v>11100</v>
      </c>
      <c r="G9" s="4" t="s">
        <v>34</v>
      </c>
      <c r="H9" s="4">
        <v>0.77</v>
      </c>
      <c r="J9" s="4" t="s">
        <v>56</v>
      </c>
      <c r="K9" s="4">
        <f>H10/(H9+H10)*100</f>
        <v>4.9382716049382713</v>
      </c>
    </row>
    <row r="10" spans="1:12" x14ac:dyDescent="0.25">
      <c r="A10" s="3" t="s">
        <v>40</v>
      </c>
      <c r="B10" s="4">
        <f>SUM(B5:B9)</f>
        <v>99.36999999999999</v>
      </c>
      <c r="C10" s="4">
        <f>SUM(C5:C9)</f>
        <v>3974800</v>
      </c>
      <c r="D10" s="4"/>
      <c r="E10" s="4"/>
      <c r="G10" s="4" t="s">
        <v>35</v>
      </c>
      <c r="H10" s="4">
        <v>0.04</v>
      </c>
    </row>
    <row r="11" spans="1:12" x14ac:dyDescent="0.25">
      <c r="G11" s="4" t="s">
        <v>71</v>
      </c>
      <c r="H11" s="4">
        <v>0.09</v>
      </c>
      <c r="J11" t="s">
        <v>59</v>
      </c>
    </row>
    <row r="12" spans="1:12" x14ac:dyDescent="0.25">
      <c r="G12" s="4" t="s">
        <v>36</v>
      </c>
      <c r="H12" s="4">
        <v>4.9400000000000004</v>
      </c>
      <c r="J12" s="5" t="s">
        <v>60</v>
      </c>
    </row>
    <row r="13" spans="1:12" x14ac:dyDescent="0.25">
      <c r="A13" s="3" t="s">
        <v>0</v>
      </c>
      <c r="B13" s="4" t="s">
        <v>41</v>
      </c>
      <c r="C13" s="4" t="s">
        <v>8</v>
      </c>
      <c r="D13" s="4" t="s">
        <v>46</v>
      </c>
      <c r="G13" s="4" t="s">
        <v>40</v>
      </c>
      <c r="H13" s="4">
        <f>H5+H6+H7+H8+H9+H10+H12+H11</f>
        <v>100.00000000000001</v>
      </c>
    </row>
    <row r="14" spans="1:12" x14ac:dyDescent="0.25">
      <c r="A14" s="4" t="s">
        <v>11</v>
      </c>
      <c r="B14" s="4" t="s">
        <v>42</v>
      </c>
      <c r="C14" s="4" t="s">
        <v>22</v>
      </c>
      <c r="D14" s="4" t="s">
        <v>25</v>
      </c>
    </row>
    <row r="15" spans="1:12" x14ac:dyDescent="0.25">
      <c r="A15" s="4" t="s">
        <v>12</v>
      </c>
      <c r="B15" s="4" t="s">
        <v>43</v>
      </c>
      <c r="C15" s="4" t="s">
        <v>23</v>
      </c>
      <c r="D15" s="4" t="s">
        <v>26</v>
      </c>
      <c r="K15" t="s">
        <v>68</v>
      </c>
      <c r="L15" t="s">
        <v>85</v>
      </c>
    </row>
    <row r="16" spans="1:12" ht="45" x14ac:dyDescent="0.25">
      <c r="A16" s="4" t="s">
        <v>70</v>
      </c>
      <c r="B16" s="4">
        <v>11</v>
      </c>
      <c r="C16" s="4">
        <f>(B16*2000*2000)/10^6</f>
        <v>44</v>
      </c>
      <c r="D16" s="4">
        <f>C16/55.845</f>
        <v>0.78789506670248011</v>
      </c>
      <c r="G16" s="3" t="s">
        <v>0</v>
      </c>
      <c r="H16" s="6" t="s">
        <v>58</v>
      </c>
      <c r="I16" s="3" t="s">
        <v>61</v>
      </c>
      <c r="J16" t="s">
        <v>62</v>
      </c>
      <c r="K16">
        <f>(H17+(H19*2)+H22+H20+F46-K18-E9)/2</f>
        <v>113684.21548318825</v>
      </c>
      <c r="L16">
        <f>K16*32*0.00045359237</f>
        <v>1650.1213674435216</v>
      </c>
    </row>
    <row r="17" spans="1:12" x14ac:dyDescent="0.25">
      <c r="A17" s="4" t="s">
        <v>14</v>
      </c>
      <c r="B17" s="4">
        <v>3.5</v>
      </c>
      <c r="C17" s="4">
        <v>14</v>
      </c>
      <c r="D17" s="4">
        <v>0.2203</v>
      </c>
      <c r="G17" s="4" t="s">
        <v>30</v>
      </c>
      <c r="H17" s="4">
        <f>K5*(E5-13871.77)/100</f>
        <v>254227.54595161788</v>
      </c>
      <c r="I17" s="4">
        <f>H17*(16+12.01)*0.00045359237</f>
        <v>3229.9920592002659</v>
      </c>
    </row>
    <row r="18" spans="1:12" x14ac:dyDescent="0.25">
      <c r="A18" s="4" t="s">
        <v>15</v>
      </c>
      <c r="B18" s="4">
        <v>2.4</v>
      </c>
      <c r="C18" s="4">
        <v>9.6</v>
      </c>
      <c r="D18" s="4">
        <v>0.39500000000000002</v>
      </c>
      <c r="G18" s="4" t="s">
        <v>31</v>
      </c>
      <c r="H18" s="4">
        <f>(0.2614/0.6263)*H17</f>
        <v>106107.4253740267</v>
      </c>
      <c r="I18" s="4">
        <f>H18*2.02*0.00045359237</f>
        <v>97.221627471005874</v>
      </c>
      <c r="J18" t="s">
        <v>63</v>
      </c>
      <c r="K18">
        <f>H18+H21+H24</f>
        <v>113604.4992287855</v>
      </c>
      <c r="L18">
        <f>K18*18.02*0.00045359237</f>
        <v>928.57301554222067</v>
      </c>
    </row>
    <row r="19" spans="1:12" x14ac:dyDescent="0.25">
      <c r="A19" s="4" t="s">
        <v>16</v>
      </c>
      <c r="B19" s="4" t="s">
        <v>44</v>
      </c>
      <c r="C19" s="4" t="s">
        <v>57</v>
      </c>
      <c r="D19" s="4">
        <v>0.1013</v>
      </c>
      <c r="G19" s="4" t="s">
        <v>32</v>
      </c>
      <c r="H19" s="4">
        <f>K6*(E5-13871.77)/100</f>
        <v>8808.4588011338128</v>
      </c>
      <c r="I19" s="4">
        <f>H19*(12.01+32)*0.00045359237</f>
        <v>175.83974145779692</v>
      </c>
    </row>
    <row r="20" spans="1:12" ht="15.75" x14ac:dyDescent="0.25">
      <c r="A20" s="4" t="s">
        <v>17</v>
      </c>
      <c r="B20" s="4">
        <v>1.5</v>
      </c>
      <c r="C20" s="4">
        <v>6</v>
      </c>
      <c r="D20" s="4">
        <v>0.66579999999999995</v>
      </c>
      <c r="G20" s="4" t="s">
        <v>33</v>
      </c>
      <c r="H20" s="4">
        <f>E6/2</f>
        <v>79207.920792079211</v>
      </c>
      <c r="I20" s="4">
        <f>H20*18.02*0.00045359237</f>
        <v>647.42451543762377</v>
      </c>
      <c r="J20" s="7" t="s">
        <v>64</v>
      </c>
      <c r="K20">
        <f>(0.05/0.95)*K16</f>
        <v>5983.3797622730663</v>
      </c>
      <c r="L20">
        <f>K20*28*0.00045359237</f>
        <v>75.992431395425356</v>
      </c>
    </row>
    <row r="21" spans="1:12" x14ac:dyDescent="0.25">
      <c r="A21" s="4" t="s">
        <v>18</v>
      </c>
      <c r="B21" s="4">
        <v>0.6</v>
      </c>
      <c r="C21" s="4">
        <v>2.4</v>
      </c>
      <c r="D21" s="4">
        <v>1.1599999999999999E-2</v>
      </c>
      <c r="G21" s="4" t="s">
        <v>34</v>
      </c>
      <c r="H21" s="4">
        <f>E8-H22</f>
        <v>7131.7460703799661</v>
      </c>
      <c r="I21" s="4">
        <f>H21*(2.02+32.065)*0.00045359237</f>
        <v>110.26175745445806</v>
      </c>
    </row>
    <row r="22" spans="1:12" x14ac:dyDescent="0.25">
      <c r="A22" s="4" t="s">
        <v>19</v>
      </c>
      <c r="B22" s="4">
        <v>0.3</v>
      </c>
      <c r="C22" s="4">
        <v>1.2</v>
      </c>
      <c r="D22" s="4">
        <v>1.6E-2</v>
      </c>
      <c r="G22" s="4" t="s">
        <v>35</v>
      </c>
      <c r="H22" s="4">
        <f>E5-H17-H19-13871.77</f>
        <v>527.69568854721365</v>
      </c>
      <c r="I22" s="4">
        <f>H22*(32.065+16+12.01)*0.00045359237</f>
        <v>14.379476185765267</v>
      </c>
    </row>
    <row r="23" spans="1:12" x14ac:dyDescent="0.25">
      <c r="A23" s="4" t="s">
        <v>20</v>
      </c>
      <c r="B23" s="4">
        <v>0.1</v>
      </c>
      <c r="C23" s="4">
        <v>0.4</v>
      </c>
      <c r="D23" s="4">
        <v>3.5999999999999999E-3</v>
      </c>
      <c r="G23" s="4" t="s">
        <v>36</v>
      </c>
      <c r="H23" s="4">
        <f>(E7/2)+K20</f>
        <v>8111.9511908444947</v>
      </c>
      <c r="I23" s="4">
        <f>H23*28*0.00045359237</f>
        <v>103.02653664742533</v>
      </c>
    </row>
    <row r="24" spans="1:12" x14ac:dyDescent="0.25">
      <c r="A24" s="4" t="s">
        <v>21</v>
      </c>
      <c r="B24" s="4" t="s">
        <v>45</v>
      </c>
      <c r="C24" s="4">
        <v>0.04</v>
      </c>
      <c r="D24" s="4">
        <v>2.0000000000000001E-4</v>
      </c>
      <c r="G24" s="9" t="s">
        <v>71</v>
      </c>
      <c r="H24" s="4">
        <f>K4*(E5-13871.77)/100</f>
        <v>365.32778437882172</v>
      </c>
      <c r="I24" s="4">
        <f>H24*(12.01+4.04)*0.00045359237</f>
        <v>2.6596438234689814</v>
      </c>
    </row>
    <row r="26" spans="1:12" x14ac:dyDescent="0.25">
      <c r="F26" s="4"/>
    </row>
    <row r="27" spans="1:12" x14ac:dyDescent="0.25">
      <c r="G27" s="4"/>
      <c r="H27" s="4"/>
    </row>
    <row r="28" spans="1:12" x14ac:dyDescent="0.25">
      <c r="F28" s="4"/>
      <c r="G28" s="4"/>
      <c r="H28" s="4"/>
    </row>
    <row r="29" spans="1:12" x14ac:dyDescent="0.25">
      <c r="F29" s="4"/>
      <c r="G29" s="4"/>
      <c r="H29" s="4"/>
    </row>
    <row r="30" spans="1:12" x14ac:dyDescent="0.25">
      <c r="F30" s="4"/>
      <c r="G30" s="4"/>
      <c r="H30" s="4"/>
    </row>
    <row r="31" spans="1:12" x14ac:dyDescent="0.25">
      <c r="F31" s="4"/>
      <c r="G31" s="4"/>
      <c r="H31" s="4"/>
    </row>
    <row r="34" spans="1:6" ht="45" x14ac:dyDescent="0.25">
      <c r="A34" s="3" t="s">
        <v>0</v>
      </c>
      <c r="B34" s="4" t="s">
        <v>8</v>
      </c>
      <c r="C34" s="4" t="s">
        <v>48</v>
      </c>
      <c r="D34" s="4" t="s">
        <v>84</v>
      </c>
      <c r="E34" s="10" t="s">
        <v>82</v>
      </c>
      <c r="F34" s="10" t="s">
        <v>83</v>
      </c>
    </row>
    <row r="35" spans="1:6" x14ac:dyDescent="0.25">
      <c r="A35" s="4" t="s">
        <v>11</v>
      </c>
      <c r="B35" s="4">
        <v>2300</v>
      </c>
      <c r="C35" s="4">
        <v>180.6</v>
      </c>
      <c r="D35" s="4" t="s">
        <v>65</v>
      </c>
      <c r="E35" s="4">
        <f>C35/2</f>
        <v>90.3</v>
      </c>
      <c r="F35" s="4">
        <f>5*E35</f>
        <v>451.5</v>
      </c>
    </row>
    <row r="36" spans="1:6" x14ac:dyDescent="0.25">
      <c r="A36" s="4" t="s">
        <v>12</v>
      </c>
      <c r="B36" s="4">
        <v>580</v>
      </c>
      <c r="C36" s="4">
        <v>39.520000000000003</v>
      </c>
      <c r="D36" s="4" t="s">
        <v>67</v>
      </c>
      <c r="E36" s="4">
        <f>C36</f>
        <v>39.520000000000003</v>
      </c>
      <c r="F36" s="4">
        <f>E36</f>
        <v>39.520000000000003</v>
      </c>
    </row>
    <row r="37" spans="1:6" x14ac:dyDescent="0.25">
      <c r="A37" s="4" t="s">
        <v>70</v>
      </c>
      <c r="B37" s="4">
        <v>11</v>
      </c>
      <c r="C37" s="4">
        <f>B37/55.845</f>
        <v>0.19697376667562003</v>
      </c>
      <c r="D37" s="4" t="s">
        <v>74</v>
      </c>
      <c r="E37" s="4">
        <f>C37/2</f>
        <v>9.8486883337810013E-2</v>
      </c>
      <c r="F37" s="4">
        <f>3*E37</f>
        <v>0.29546065001343003</v>
      </c>
    </row>
    <row r="38" spans="1:6" x14ac:dyDescent="0.25">
      <c r="A38" s="4" t="s">
        <v>14</v>
      </c>
      <c r="B38" s="4">
        <v>3.5</v>
      </c>
      <c r="C38" s="4">
        <v>0.2203</v>
      </c>
      <c r="D38" s="4" t="s">
        <v>75</v>
      </c>
      <c r="E38" s="4">
        <f>C38</f>
        <v>0.2203</v>
      </c>
      <c r="F38" s="4">
        <f>E38</f>
        <v>0.2203</v>
      </c>
    </row>
    <row r="39" spans="1:6" x14ac:dyDescent="0.25">
      <c r="A39" s="4" t="s">
        <v>15</v>
      </c>
      <c r="B39" s="4">
        <v>2.4</v>
      </c>
      <c r="C39" s="4">
        <v>0.39500000000000002</v>
      </c>
      <c r="D39" s="4" t="s">
        <v>66</v>
      </c>
      <c r="E39" s="4">
        <f>C39</f>
        <v>0.39500000000000002</v>
      </c>
      <c r="F39" s="4">
        <f>E39</f>
        <v>0.39500000000000002</v>
      </c>
    </row>
    <row r="40" spans="1:6" x14ac:dyDescent="0.25">
      <c r="A40" s="4" t="s">
        <v>16</v>
      </c>
      <c r="B40" s="4">
        <v>2</v>
      </c>
      <c r="C40" s="4">
        <v>0.1013</v>
      </c>
      <c r="D40" s="4" t="s">
        <v>76</v>
      </c>
      <c r="E40" s="4">
        <f>C40</f>
        <v>0.1013</v>
      </c>
      <c r="F40" s="4">
        <f>2*E40</f>
        <v>0.2026</v>
      </c>
    </row>
    <row r="41" spans="1:6" x14ac:dyDescent="0.25">
      <c r="A41" s="4" t="s">
        <v>17</v>
      </c>
      <c r="B41" s="4">
        <v>1.5</v>
      </c>
      <c r="C41" s="4">
        <v>0.66579999999999995</v>
      </c>
      <c r="D41" s="4" t="s">
        <v>77</v>
      </c>
      <c r="E41" s="4">
        <f>C41</f>
        <v>0.66579999999999995</v>
      </c>
      <c r="F41" s="4">
        <f>E41</f>
        <v>0.66579999999999995</v>
      </c>
    </row>
    <row r="42" spans="1:6" x14ac:dyDescent="0.25">
      <c r="A42" s="4" t="s">
        <v>18</v>
      </c>
      <c r="B42" s="4">
        <v>0.6</v>
      </c>
      <c r="C42" s="4">
        <v>1.1599999999999999E-2</v>
      </c>
      <c r="D42" s="4" t="s">
        <v>78</v>
      </c>
      <c r="E42" s="4">
        <f>C42</f>
        <v>1.1599999999999999E-2</v>
      </c>
      <c r="F42" s="4">
        <f>E42*2</f>
        <v>2.3199999999999998E-2</v>
      </c>
    </row>
    <row r="43" spans="1:6" x14ac:dyDescent="0.25">
      <c r="A43" s="4" t="s">
        <v>19</v>
      </c>
      <c r="B43" s="4">
        <v>0.3</v>
      </c>
      <c r="C43" s="4">
        <v>1.6E-2</v>
      </c>
      <c r="D43" s="4" t="s">
        <v>79</v>
      </c>
      <c r="E43" s="4">
        <f>C43/2</f>
        <v>8.0000000000000002E-3</v>
      </c>
      <c r="F43" s="4">
        <f>3*E43</f>
        <v>2.4E-2</v>
      </c>
    </row>
    <row r="44" spans="1:6" x14ac:dyDescent="0.25">
      <c r="A44" s="4" t="s">
        <v>20</v>
      </c>
      <c r="B44" s="4">
        <v>0.1</v>
      </c>
      <c r="C44" s="4">
        <v>3.5999999999999999E-3</v>
      </c>
      <c r="D44" s="4" t="s">
        <v>80</v>
      </c>
      <c r="E44" s="4">
        <f>C44</f>
        <v>3.5999999999999999E-3</v>
      </c>
      <c r="F44" s="4">
        <f>E44</f>
        <v>3.5999999999999999E-3</v>
      </c>
    </row>
    <row r="45" spans="1:6" x14ac:dyDescent="0.25">
      <c r="A45" s="4" t="s">
        <v>21</v>
      </c>
      <c r="B45" s="4">
        <v>0.1</v>
      </c>
      <c r="C45" s="4">
        <v>2.0000000000000001E-4</v>
      </c>
      <c r="D45" s="4" t="s">
        <v>81</v>
      </c>
      <c r="E45" s="4">
        <f>C45</f>
        <v>2.0000000000000001E-4</v>
      </c>
      <c r="F45" s="4">
        <f>E45</f>
        <v>2.0000000000000001E-4</v>
      </c>
    </row>
    <row r="46" spans="1:6" x14ac:dyDescent="0.25">
      <c r="A46" s="4"/>
      <c r="B46" s="4"/>
      <c r="C46" s="4"/>
      <c r="D46" s="4" t="s">
        <v>39</v>
      </c>
      <c r="E46" s="4"/>
      <c r="F46" s="4">
        <f>SUM(F35:F45)</f>
        <v>492.85016065001338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Vijeta Patel</dc:creator>
  <cp:lastModifiedBy>Vijeta Patel</cp:lastModifiedBy>
  <dcterms:created xsi:type="dcterms:W3CDTF">2011-01-27T02:51:43Z</dcterms:created>
  <dcterms:modified xsi:type="dcterms:W3CDTF">2011-02-11T21:06:57Z</dcterms:modified>
</cp:coreProperties>
</file>