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3" sheetId="2" r:id="rId2"/>
    <sheet name="Sheet2" sheetId="3" r:id="rId3"/>
  </sheets>
  <calcPr calcId="1445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C12" i="2" l="1"/>
  <c r="D12" i="2" s="1"/>
  <c r="E12" i="2" s="1"/>
  <c r="F12" i="2" s="1"/>
  <c r="G12" i="2" s="1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I24" i="2"/>
  <c r="J24" i="2" s="1"/>
  <c r="K24" i="2" s="1"/>
  <c r="L24" i="2" s="1"/>
  <c r="M24" i="2" s="1"/>
  <c r="N24" i="2" s="1"/>
  <c r="O24" i="2" s="1"/>
  <c r="P24" i="2" s="1"/>
  <c r="Q24" i="2" s="1"/>
  <c r="R24" i="2" s="1"/>
  <c r="S24" i="2" s="1"/>
  <c r="E24" i="2"/>
  <c r="F24" i="2" s="1"/>
  <c r="G24" i="2" s="1"/>
  <c r="H24" i="2" s="1"/>
  <c r="D24" i="2"/>
  <c r="E21" i="2"/>
  <c r="F21" i="2" s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D21" i="2"/>
  <c r="I20" i="2"/>
  <c r="J20" i="2" s="1"/>
  <c r="K20" i="2" s="1"/>
  <c r="L20" i="2" s="1"/>
  <c r="M20" i="2" s="1"/>
  <c r="N20" i="2" s="1"/>
  <c r="O20" i="2" s="1"/>
  <c r="P20" i="2" s="1"/>
  <c r="Q20" i="2" s="1"/>
  <c r="R20" i="2" s="1"/>
  <c r="S20" i="2" s="1"/>
  <c r="E20" i="2"/>
  <c r="F20" i="2" s="1"/>
  <c r="G20" i="2" s="1"/>
  <c r="H20" i="2" s="1"/>
  <c r="D20" i="2"/>
  <c r="I18" i="2"/>
  <c r="J18" i="2" s="1"/>
  <c r="K18" i="2" s="1"/>
  <c r="L18" i="2" s="1"/>
  <c r="E18" i="2"/>
  <c r="F18" i="2" s="1"/>
  <c r="G18" i="2" s="1"/>
  <c r="H18" i="2" s="1"/>
  <c r="D18" i="2"/>
  <c r="C15" i="3"/>
  <c r="C25" i="3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B40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I22" i="3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G22" i="3"/>
  <c r="H22" i="3" s="1"/>
  <c r="E22" i="3"/>
  <c r="F22" i="3" s="1"/>
  <c r="D22" i="3"/>
  <c r="E19" i="3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D19" i="3"/>
  <c r="E18" i="3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D18" i="3"/>
  <c r="G17" i="3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E17" i="3"/>
  <c r="F17" i="3" s="1"/>
  <c r="D17" i="3"/>
  <c r="I16" i="3"/>
  <c r="J16" i="3" s="1"/>
  <c r="K16" i="3" s="1"/>
  <c r="L16" i="3" s="1"/>
  <c r="M16" i="3" s="1"/>
  <c r="G16" i="3"/>
  <c r="H16" i="3" s="1"/>
  <c r="E16" i="3"/>
  <c r="F16" i="3" s="1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D10" i="3"/>
  <c r="E10" i="3" s="1"/>
  <c r="H12" i="2" l="1"/>
  <c r="M18" i="2"/>
  <c r="N18" i="2" s="1"/>
  <c r="O18" i="2" s="1"/>
  <c r="C29" i="3"/>
  <c r="C31" i="3" s="1"/>
  <c r="C33" i="3" s="1"/>
  <c r="D29" i="3"/>
  <c r="D31" i="3" s="1"/>
  <c r="E29" i="3"/>
  <c r="I29" i="3"/>
  <c r="N16" i="3"/>
  <c r="O16" i="3" s="1"/>
  <c r="P16" i="3" s="1"/>
  <c r="Q16" i="3" s="1"/>
  <c r="M29" i="3"/>
  <c r="E31" i="3"/>
  <c r="G29" i="3"/>
  <c r="K29" i="3"/>
  <c r="O29" i="3"/>
  <c r="L29" i="3"/>
  <c r="C35" i="3"/>
  <c r="C40" i="3" s="1"/>
  <c r="F10" i="3"/>
  <c r="H29" i="3"/>
  <c r="P29" i="3"/>
  <c r="F29" i="3"/>
  <c r="J29" i="3"/>
  <c r="N29" i="3"/>
  <c r="G6" i="1"/>
  <c r="G7" i="1"/>
  <c r="F28" i="1"/>
  <c r="H28" i="1" s="1"/>
  <c r="I28" i="1" s="1"/>
  <c r="F29" i="1"/>
  <c r="H29" i="1" s="1"/>
  <c r="I29" i="1" s="1"/>
  <c r="F30" i="1"/>
  <c r="H30" i="1" s="1"/>
  <c r="I30" i="1" s="1"/>
  <c r="F22" i="1"/>
  <c r="H22" i="1" s="1"/>
  <c r="I22" i="1" s="1"/>
  <c r="F23" i="1"/>
  <c r="H23" i="1" s="1"/>
  <c r="I23" i="1" s="1"/>
  <c r="F41" i="1"/>
  <c r="H41" i="1" s="1"/>
  <c r="I41" i="1" s="1"/>
  <c r="F35" i="1"/>
  <c r="H35" i="1" s="1"/>
  <c r="I35" i="1" s="1"/>
  <c r="F36" i="1"/>
  <c r="H36" i="1" s="1"/>
  <c r="I36" i="1" s="1"/>
  <c r="F25" i="1"/>
  <c r="H25" i="1" s="1"/>
  <c r="I25" i="1" s="1"/>
  <c r="F20" i="1"/>
  <c r="H20" i="1" s="1"/>
  <c r="I20" i="1" s="1"/>
  <c r="F32" i="1"/>
  <c r="H32" i="1" s="1"/>
  <c r="I32" i="1" s="1"/>
  <c r="F27" i="1"/>
  <c r="H27" i="1" s="1"/>
  <c r="I27" i="1" s="1"/>
  <c r="F38" i="1"/>
  <c r="H38" i="1" s="1"/>
  <c r="I38" i="1" s="1"/>
  <c r="F17" i="1"/>
  <c r="H17" i="1" s="1"/>
  <c r="I17" i="1" s="1"/>
  <c r="F24" i="1"/>
  <c r="H24" i="1" s="1"/>
  <c r="I24" i="1" s="1"/>
  <c r="F31" i="1"/>
  <c r="H31" i="1" s="1"/>
  <c r="I31" i="1" s="1"/>
  <c r="F33" i="1"/>
  <c r="H33" i="1" s="1"/>
  <c r="I33" i="1" s="1"/>
  <c r="F21" i="1"/>
  <c r="H21" i="1" s="1"/>
  <c r="I21" i="1" s="1"/>
  <c r="F40" i="1"/>
  <c r="H40" i="1" s="1"/>
  <c r="I40" i="1" s="1"/>
  <c r="F37" i="1"/>
  <c r="H37" i="1" s="1"/>
  <c r="I37" i="1" s="1"/>
  <c r="F34" i="1"/>
  <c r="H34" i="1" s="1"/>
  <c r="I34" i="1" s="1"/>
  <c r="F39" i="1"/>
  <c r="H39" i="1" s="1"/>
  <c r="I39" i="1" s="1"/>
  <c r="F19" i="1"/>
  <c r="H19" i="1" s="1"/>
  <c r="I19" i="1" s="1"/>
  <c r="F26" i="1"/>
  <c r="H26" i="1" s="1"/>
  <c r="I26" i="1" s="1"/>
  <c r="I42" i="1" l="1"/>
  <c r="P18" i="2"/>
  <c r="I12" i="2"/>
  <c r="H42" i="1"/>
  <c r="D33" i="3"/>
  <c r="D35" i="3"/>
  <c r="D40" i="3" s="1"/>
  <c r="G10" i="3"/>
  <c r="F31" i="3"/>
  <c r="E33" i="3"/>
  <c r="E35" i="3" s="1"/>
  <c r="E40" i="3" s="1"/>
  <c r="C42" i="3"/>
  <c r="D42" i="3" s="1"/>
  <c r="R16" i="3"/>
  <c r="Q29" i="3"/>
  <c r="E42" i="1"/>
  <c r="F42" i="1" s="1"/>
  <c r="D44" i="1" l="1"/>
  <c r="B7" i="2" s="1"/>
  <c r="O17" i="2" s="1"/>
  <c r="R17" i="2"/>
  <c r="E17" i="2"/>
  <c r="M17" i="2"/>
  <c r="D17" i="2"/>
  <c r="C27" i="2"/>
  <c r="D27" i="2" s="1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K17" i="2"/>
  <c r="C17" i="2"/>
  <c r="S17" i="2"/>
  <c r="I17" i="2"/>
  <c r="Q17" i="2"/>
  <c r="F17" i="2"/>
  <c r="G17" i="2"/>
  <c r="J17" i="2"/>
  <c r="N17" i="2"/>
  <c r="J12" i="2"/>
  <c r="Q18" i="2"/>
  <c r="G31" i="3"/>
  <c r="H10" i="3"/>
  <c r="E42" i="3"/>
  <c r="F33" i="3"/>
  <c r="F35" i="3" s="1"/>
  <c r="F40" i="3" s="1"/>
  <c r="S16" i="3"/>
  <c r="S29" i="3" s="1"/>
  <c r="R29" i="3"/>
  <c r="F4" i="1"/>
  <c r="G4" i="1" s="1"/>
  <c r="F5" i="1"/>
  <c r="G5" i="1" s="1"/>
  <c r="F8" i="1"/>
  <c r="G8" i="1" s="1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  <c r="Q19" i="2" s="1"/>
  <c r="R19" i="2" s="1"/>
  <c r="S19" i="2" s="1"/>
  <c r="F3" i="1"/>
  <c r="G3" i="1" s="1"/>
  <c r="L17" i="2" l="1"/>
  <c r="P17" i="2"/>
  <c r="B42" i="2"/>
  <c r="H17" i="2"/>
  <c r="G9" i="1"/>
  <c r="C29" i="2" s="1"/>
  <c r="D29" i="2" s="1"/>
  <c r="E29" i="2" s="1"/>
  <c r="F29" i="2" s="1"/>
  <c r="G29" i="2" s="1"/>
  <c r="H29" i="2" s="1"/>
  <c r="I29" i="2" s="1"/>
  <c r="J29" i="2" s="1"/>
  <c r="K29" i="2" s="1"/>
  <c r="L29" i="2" s="1"/>
  <c r="M29" i="2" s="1"/>
  <c r="N29" i="2" s="1"/>
  <c r="O29" i="2" s="1"/>
  <c r="P29" i="2" s="1"/>
  <c r="Q29" i="2" s="1"/>
  <c r="R29" i="2" s="1"/>
  <c r="S29" i="2" s="1"/>
  <c r="R18" i="2"/>
  <c r="K12" i="2"/>
  <c r="F42" i="3"/>
  <c r="I10" i="3"/>
  <c r="H31" i="3"/>
  <c r="G33" i="3"/>
  <c r="G35" i="3" s="1"/>
  <c r="G40" i="3" s="1"/>
  <c r="F9" i="1"/>
  <c r="G31" i="2" l="1"/>
  <c r="G33" i="2" s="1"/>
  <c r="G35" i="2" s="1"/>
  <c r="G37" i="2" s="1"/>
  <c r="G42" i="2" s="1"/>
  <c r="M31" i="2"/>
  <c r="D31" i="2"/>
  <c r="D33" i="2" s="1"/>
  <c r="D35" i="2" s="1"/>
  <c r="D37" i="2" s="1"/>
  <c r="D42" i="2" s="1"/>
  <c r="O31" i="2"/>
  <c r="E31" i="2"/>
  <c r="E33" i="2" s="1"/>
  <c r="E35" i="2" s="1"/>
  <c r="E37" i="2" s="1"/>
  <c r="E42" i="2" s="1"/>
  <c r="K31" i="2"/>
  <c r="Q31" i="2"/>
  <c r="C31" i="2"/>
  <c r="C33" i="2" s="1"/>
  <c r="C35" i="2" s="1"/>
  <c r="C37" i="2" s="1"/>
  <c r="C42" i="2" s="1"/>
  <c r="C44" i="2" s="1"/>
  <c r="D44" i="2" s="1"/>
  <c r="H31" i="2"/>
  <c r="H33" i="2" s="1"/>
  <c r="F31" i="2"/>
  <c r="F33" i="2" s="1"/>
  <c r="F35" i="2" s="1"/>
  <c r="F37" i="2" s="1"/>
  <c r="F42" i="2" s="1"/>
  <c r="I31" i="2"/>
  <c r="I33" i="2" s="1"/>
  <c r="I35" i="2" s="1"/>
  <c r="I37" i="2" s="1"/>
  <c r="I42" i="2" s="1"/>
  <c r="J31" i="2"/>
  <c r="J33" i="2" s="1"/>
  <c r="L31" i="2"/>
  <c r="N31" i="2"/>
  <c r="P31" i="2"/>
  <c r="J35" i="2"/>
  <c r="J37" i="2" s="1"/>
  <c r="J42" i="2" s="1"/>
  <c r="L12" i="2"/>
  <c r="K33" i="2"/>
  <c r="S18" i="2"/>
  <c r="S31" i="2" s="1"/>
  <c r="R31" i="2"/>
  <c r="G42" i="3"/>
  <c r="I31" i="3"/>
  <c r="J10" i="3"/>
  <c r="H33" i="3"/>
  <c r="H35" i="3" s="1"/>
  <c r="H40" i="3" s="1"/>
  <c r="E44" i="2" l="1"/>
  <c r="F44" i="2"/>
  <c r="G44" i="2" s="1"/>
  <c r="H35" i="2"/>
  <c r="H37" i="2" s="1"/>
  <c r="H42" i="2" s="1"/>
  <c r="M12" i="2"/>
  <c r="L33" i="2"/>
  <c r="K35" i="2"/>
  <c r="K37" i="2" s="1"/>
  <c r="K42" i="2" s="1"/>
  <c r="I33" i="3"/>
  <c r="I35" i="3" s="1"/>
  <c r="I40" i="3" s="1"/>
  <c r="H42" i="3"/>
  <c r="K10" i="3"/>
  <c r="J31" i="3"/>
  <c r="H44" i="2" l="1"/>
  <c r="I44" i="2" s="1"/>
  <c r="J44" i="2" s="1"/>
  <c r="K44" i="2"/>
  <c r="L35" i="2"/>
  <c r="L37" i="2" s="1"/>
  <c r="L42" i="2" s="1"/>
  <c r="M33" i="2"/>
  <c r="N12" i="2"/>
  <c r="I42" i="3"/>
  <c r="J33" i="3"/>
  <c r="J35" i="3" s="1"/>
  <c r="J40" i="3" s="1"/>
  <c r="K31" i="3"/>
  <c r="L10" i="3"/>
  <c r="L44" i="2" l="1"/>
  <c r="M35" i="2"/>
  <c r="M37" i="2" s="1"/>
  <c r="M42" i="2" s="1"/>
  <c r="M44" i="2" s="1"/>
  <c r="O12" i="2"/>
  <c r="N33" i="2"/>
  <c r="K33" i="3"/>
  <c r="K35" i="3" s="1"/>
  <c r="K40" i="3" s="1"/>
  <c r="M10" i="3"/>
  <c r="L31" i="3"/>
  <c r="J42" i="3"/>
  <c r="N35" i="2" l="1"/>
  <c r="N37" i="2" s="1"/>
  <c r="N42" i="2" s="1"/>
  <c r="P12" i="2"/>
  <c r="O33" i="2"/>
  <c r="K42" i="3"/>
  <c r="L33" i="3"/>
  <c r="L35" i="3" s="1"/>
  <c r="L40" i="3" s="1"/>
  <c r="M31" i="3"/>
  <c r="N10" i="3"/>
  <c r="O35" i="2" l="1"/>
  <c r="O37" i="2" s="1"/>
  <c r="O42" i="2" s="1"/>
  <c r="Q12" i="2"/>
  <c r="P33" i="2"/>
  <c r="O10" i="3"/>
  <c r="N31" i="3"/>
  <c r="L42" i="3"/>
  <c r="M33" i="3"/>
  <c r="M35" i="3" s="1"/>
  <c r="M40" i="3" s="1"/>
  <c r="Q33" i="2" l="1"/>
  <c r="R12" i="2"/>
  <c r="P35" i="2"/>
  <c r="P37" i="2" s="1"/>
  <c r="P42" i="2" s="1"/>
  <c r="N33" i="3"/>
  <c r="N35" i="3"/>
  <c r="N40" i="3" s="1"/>
  <c r="M42" i="3"/>
  <c r="O31" i="3"/>
  <c r="P10" i="3"/>
  <c r="S12" i="2" l="1"/>
  <c r="S33" i="2" s="1"/>
  <c r="R33" i="2"/>
  <c r="Q35" i="2"/>
  <c r="Q37" i="2" s="1"/>
  <c r="Q42" i="2" s="1"/>
  <c r="Q10" i="3"/>
  <c r="P31" i="3"/>
  <c r="O33" i="3"/>
  <c r="O35" i="3" s="1"/>
  <c r="O40" i="3" s="1"/>
  <c r="R35" i="2" l="1"/>
  <c r="R37" i="2" s="1"/>
  <c r="R42" i="2" s="1"/>
  <c r="S35" i="2"/>
  <c r="S37" i="2" s="1"/>
  <c r="S42" i="2" s="1"/>
  <c r="P33" i="3"/>
  <c r="P35" i="3"/>
  <c r="P40" i="3" s="1"/>
  <c r="Q31" i="3"/>
  <c r="R10" i="3"/>
  <c r="B47" i="2" l="1"/>
  <c r="B46" i="2"/>
  <c r="Q33" i="3"/>
  <c r="Q35" i="3" s="1"/>
  <c r="Q40" i="3" s="1"/>
  <c r="S10" i="3"/>
  <c r="S31" i="3" s="1"/>
  <c r="R31" i="3"/>
  <c r="R33" i="3" l="1"/>
  <c r="R35" i="3"/>
  <c r="R40" i="3" s="1"/>
  <c r="S33" i="3"/>
  <c r="S35" i="3" s="1"/>
  <c r="S40" i="3" s="1"/>
  <c r="B44" i="3" l="1"/>
  <c r="B45" i="3"/>
</calcChain>
</file>

<file path=xl/sharedStrings.xml><?xml version="1.0" encoding="utf-8"?>
<sst xmlns="http://schemas.openxmlformats.org/spreadsheetml/2006/main" count="125" uniqueCount="96">
  <si>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</si>
  <si>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</si>
  <si>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</si>
  <si>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</si>
  <si>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</si>
  <si>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</si>
  <si>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</si>
  <si>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</si>
  <si>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</si>
  <si>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</si>
  <si>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$/1000 gallon</t>
  </si>
  <si>
    <t>year</t>
  </si>
  <si>
    <t>current value</t>
  </si>
  <si>
    <t>($/lbm)</t>
  </si>
  <si>
    <t>Cost ($)/(year)</t>
  </si>
  <si>
    <t>Equipments</t>
  </si>
  <si>
    <t>installation cost</t>
  </si>
  <si>
    <t>Total cost</t>
  </si>
  <si>
    <t>Total (current value)</t>
  </si>
  <si>
    <t>Gasifier</t>
  </si>
  <si>
    <t>Heat exchangers 1</t>
  </si>
  <si>
    <t>Heat exchangers 2</t>
  </si>
  <si>
    <t>Heat exchangers 3</t>
  </si>
  <si>
    <t>Area (squarefeet)</t>
  </si>
  <si>
    <t>Cooler 1</t>
  </si>
  <si>
    <t>Cooler 2</t>
  </si>
  <si>
    <t>cost ($)</t>
  </si>
  <si>
    <t>Zinc-oxide bed</t>
  </si>
  <si>
    <t>Zinc oxide (lbm/day)</t>
  </si>
  <si>
    <t>Reactor 1 (HTS)</t>
  </si>
  <si>
    <t>Reactor 2 (LTS)</t>
  </si>
  <si>
    <t>NH3 refrigerator</t>
  </si>
  <si>
    <t>H2S stripper</t>
  </si>
  <si>
    <t>slag crusher</t>
  </si>
  <si>
    <t xml:space="preserve">Utilities </t>
  </si>
  <si>
    <t>Mixer</t>
  </si>
  <si>
    <t>petcoke crusher</t>
  </si>
  <si>
    <t>compressors</t>
  </si>
  <si>
    <t>Flash Gas Compressor</t>
  </si>
  <si>
    <t>Waste heat boiler</t>
  </si>
  <si>
    <t>Reheater</t>
  </si>
  <si>
    <t>ratio mixer</t>
  </si>
  <si>
    <t>Spliter</t>
  </si>
  <si>
    <t>clause furnace</t>
  </si>
  <si>
    <t>($/2.20 lbm)</t>
  </si>
  <si>
    <t>(by KFO)</t>
  </si>
  <si>
    <t>($/110 lbm)</t>
  </si>
  <si>
    <t>per ton</t>
  </si>
  <si>
    <t>Heat Duty (MMBTU/hr)</t>
  </si>
  <si>
    <t>Claus Processor</t>
  </si>
  <si>
    <t>Cyclone</t>
  </si>
  <si>
    <t>24 inches</t>
  </si>
  <si>
    <t>assuming 4000 gallons of volume and 600 psi</t>
  </si>
  <si>
    <t>assuming 4000 gallons of volume and 150 psi</t>
  </si>
  <si>
    <t>CO2 capture plant</t>
  </si>
  <si>
    <t>assuming carbon steel as inner wall material</t>
  </si>
  <si>
    <t>assuming pul. Coal fired at 600 psi and 750 F 270,000 lb/hr feed</t>
  </si>
  <si>
    <t>Factor for installation cost</t>
  </si>
  <si>
    <t>capital cost</t>
  </si>
  <si>
    <t>royalties</t>
  </si>
  <si>
    <t>taxes</t>
  </si>
  <si>
    <t>laboratory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</si>
  <si>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</si>
  <si>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</si>
  <si>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</si>
  <si>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</si>
  <si>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</si>
  <si>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</si>
  <si>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</si>
  <si>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</si>
  <si>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</si>
  <si>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</si>
  <si>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</si>
  <si>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</si>
  <si>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</si>
  <si>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</si>
  <si>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</si>
  <si>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</si>
  <si>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</si>
  <si>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</si>
  <si>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</si>
  <si>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</si>
  <si>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</si>
  <si>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</si>
  <si>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</si>
  <si>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</si>
  <si>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</si>
  <si>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</si>
  <si>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</si>
  <si>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</si>
  <si>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</si>
  <si>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</si>
  <si>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</si>
  <si>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</si>
  <si>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3000 ton of</t>
  </si>
  <si>
    <t>syngat at $70/ton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</si>
</sst>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5" borderId="0" xfId="0" applyFont="1" applyFill="1"/>
    <xf numFmtId="0" fontId="0" fillId="0" borderId="0" xfId="0" applyAlignment="1">
      <alignment horizontal="left" vertical="center" wrapText="1"/>
    </xf>
    <xf numFmtId="164" fontId="0" fillId="0" borderId="0" xfId="0" applyNumberFormat="1"/>
    <xf numFmtId="11" fontId="0" fillId="0" borderId="0" xfId="0" applyNumberFormat="1"/>
    <xf numFmtId="8" fontId="0" fillId="0" borderId="0" xfId="0" applyNumberFormat="1"/>
    <xf numFmtId="44" fontId="0" fillId="0" borderId="0" xfId="0" applyNumberFormat="1"/>
    <xf numFmtId="10" fontId="0" fillId="0" borderId="0" xfId="0" applyNumberFormat="1"/>
    <xf numFmtId="9" fontId="1" fillId="3" borderId="0" xfId="0" applyNumberFormat="1" applyFont="1" applyFill="1" applyAlignment="1">
      <alignment wrapText="1"/>
    </xf>
    <xf numFmtId="9" fontId="0" fillId="0" borderId="0" xfId="0" applyNumberForma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6" fillId="0" borderId="0" xfId="0" applyNumberFormat="1" applyFont="1"/>
    <xf numFmtId="0" fontId="6" fillId="0" borderId="0" xfId="0" applyFont="1"/>
    <xf numFmtId="38" fontId="0" fillId="0" borderId="0" xfId="0" applyNumberFormat="1"/>
    <xf numFmtId="6" fontId="0" fillId="0" borderId="0" xfId="0" applyNumberFormat="1"/>
    <xf numFmtId="3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tabSelected="1" workbookViewId="0">
      <selection activeCell="C45" sqref="C45"/>
    </sheetView>
  </sheetViews>
  <sheetFormatPr defaultRowHeight="15" x14ac:dyDescent="0.25"/>
  <cols>
    <col min="1" max="1" width="9.140625" customWidth="1"/>
    <col min="2" max="2" width="22.42578125" style="1" customWidth="1"/>
    <col min="3" max="3" width="16.42578125" customWidth="1"/>
    <col min="4" max="4" width="18.42578125" customWidth="1"/>
    <col min="5" max="5" width="16.42578125" customWidth="1"/>
    <col min="6" max="6" width="20.85546875" customWidth="1"/>
    <col min="7" max="7" width="25.140625" customWidth="1"/>
    <col min="8" max="8" width="16.140625" customWidth="1"/>
    <col min="9" max="9" width="17" customWidth="1"/>
    <col min="10" max="10" width="18.5703125" customWidth="1"/>
  </cols>
  <sheetData>
    <row r="1" spans="2:10" ht="45.75" customHeight="1" x14ac:dyDescent="0.25">
      <c r="G1" s="9" t="s">
        <v>62</v>
      </c>
    </row>
    <row r="2" spans="2:10" s="2" customFormat="1" x14ac:dyDescent="0.25">
      <c r="B2" s="2" t="s">
        <v>0</v>
      </c>
      <c r="C2" s="2" t="s">
        <v>7</v>
      </c>
      <c r="D2" s="2" t="s">
        <v>5</v>
      </c>
      <c r="F2" s="2" t="s">
        <v>6</v>
      </c>
      <c r="G2" s="2" t="s">
        <v>14</v>
      </c>
      <c r="H2" s="2" t="s">
        <v>11</v>
      </c>
      <c r="I2" s="2" t="s">
        <v>12</v>
      </c>
    </row>
    <row r="3" spans="2:10" x14ac:dyDescent="0.25">
      <c r="B3" s="8" t="s">
        <v>1</v>
      </c>
      <c r="C3">
        <v>2800</v>
      </c>
      <c r="D3" s="13">
        <v>50</v>
      </c>
      <c r="E3" t="s">
        <v>8</v>
      </c>
      <c r="F3">
        <f>D3*C3</f>
        <v>140000</v>
      </c>
      <c r="G3">
        <f>F3*350</f>
        <v>49000000</v>
      </c>
      <c r="H3">
        <v>2008</v>
      </c>
    </row>
    <row r="4" spans="2:10" x14ac:dyDescent="0.25">
      <c r="B4" s="3" t="s">
        <v>28</v>
      </c>
      <c r="C4">
        <v>0.48</v>
      </c>
      <c r="D4" s="13">
        <v>18</v>
      </c>
      <c r="E4" t="s">
        <v>44</v>
      </c>
      <c r="F4">
        <f>D4*C4</f>
        <v>8.64</v>
      </c>
      <c r="G4">
        <f t="shared" ref="G4:G8" si="0">F4*350</f>
        <v>3024</v>
      </c>
      <c r="H4">
        <v>2011</v>
      </c>
      <c r="J4" t="s">
        <v>45</v>
      </c>
    </row>
    <row r="5" spans="2:10" x14ac:dyDescent="0.25">
      <c r="B5" s="5" t="s">
        <v>2</v>
      </c>
      <c r="D5" s="13">
        <v>1.33</v>
      </c>
      <c r="E5" t="s">
        <v>13</v>
      </c>
      <c r="F5">
        <f>D5*C5</f>
        <v>0</v>
      </c>
      <c r="G5">
        <f t="shared" si="0"/>
        <v>0</v>
      </c>
      <c r="H5">
        <v>2011</v>
      </c>
    </row>
    <row r="6" spans="2:10" x14ac:dyDescent="0.25">
      <c r="B6" s="1" t="s">
        <v>3</v>
      </c>
      <c r="D6" s="13">
        <v>2548.75</v>
      </c>
      <c r="E6" t="s">
        <v>46</v>
      </c>
      <c r="G6">
        <f t="shared" si="0"/>
        <v>0</v>
      </c>
    </row>
    <row r="7" spans="2:10" x14ac:dyDescent="0.25">
      <c r="B7" s="1" t="s">
        <v>4</v>
      </c>
      <c r="D7" s="13"/>
      <c r="G7">
        <f t="shared" si="0"/>
        <v>0</v>
      </c>
    </row>
    <row r="8" spans="2:10" x14ac:dyDescent="0.25">
      <c r="B8" s="1" t="s">
        <v>9</v>
      </c>
      <c r="C8">
        <v>190000</v>
      </c>
      <c r="D8" s="13">
        <v>1.68</v>
      </c>
      <c r="E8" t="s">
        <v>10</v>
      </c>
      <c r="F8">
        <f>D8*C8/1000</f>
        <v>319.2</v>
      </c>
      <c r="G8">
        <f t="shared" si="0"/>
        <v>111720</v>
      </c>
      <c r="H8">
        <v>2011</v>
      </c>
    </row>
    <row r="9" spans="2:10" x14ac:dyDescent="0.25">
      <c r="F9">
        <f>SUM(F3:F8)</f>
        <v>140327.84000000003</v>
      </c>
      <c r="G9">
        <f>SUM(G3:G8)</f>
        <v>49114744</v>
      </c>
    </row>
    <row r="10" spans="2:10" x14ac:dyDescent="0.25">
      <c r="F10" s="10"/>
      <c r="G10" s="10"/>
    </row>
    <row r="11" spans="2:10" s="6" customFormat="1" x14ac:dyDescent="0.25">
      <c r="B11" s="7"/>
    </row>
    <row r="12" spans="2:10" x14ac:dyDescent="0.25">
      <c r="B12" s="1" t="s">
        <v>34</v>
      </c>
    </row>
    <row r="13" spans="2:10" x14ac:dyDescent="0.25">
      <c r="G13" s="11"/>
    </row>
    <row r="16" spans="2:10" s="4" customFormat="1" ht="30" x14ac:dyDescent="0.25">
      <c r="B16" s="4" t="s">
        <v>15</v>
      </c>
      <c r="C16" s="4" t="s">
        <v>23</v>
      </c>
      <c r="D16" s="4" t="s">
        <v>48</v>
      </c>
      <c r="E16" s="4" t="s">
        <v>26</v>
      </c>
      <c r="F16" s="4" t="s">
        <v>92</v>
      </c>
      <c r="G16" s="15" t="s">
        <v>57</v>
      </c>
      <c r="H16" s="4" t="s">
        <v>16</v>
      </c>
      <c r="I16" s="4" t="s">
        <v>17</v>
      </c>
      <c r="J16" s="4" t="s">
        <v>18</v>
      </c>
    </row>
    <row r="17" spans="2:12" x14ac:dyDescent="0.25">
      <c r="B17" s="1" t="s">
        <v>49</v>
      </c>
      <c r="D17" s="12"/>
      <c r="E17" s="13">
        <v>14</v>
      </c>
      <c r="F17" s="13">
        <f t="shared" ref="F17:F41" si="1">(556.8/525.4)*E17</f>
        <v>14.836695850780357</v>
      </c>
      <c r="G17" s="16"/>
      <c r="H17" s="13">
        <f t="shared" ref="H17:H41" si="2">G17*F17</f>
        <v>0</v>
      </c>
      <c r="I17" s="13">
        <f>H17+F17</f>
        <v>14.836695850780357</v>
      </c>
    </row>
    <row r="18" spans="2:12" x14ac:dyDescent="0.25">
      <c r="B18" s="1" t="s">
        <v>93</v>
      </c>
      <c r="D18" s="12"/>
      <c r="E18" s="13"/>
      <c r="F18" s="13"/>
      <c r="G18" s="16"/>
      <c r="H18" s="13"/>
      <c r="I18" s="13">
        <v>100000000</v>
      </c>
    </row>
    <row r="19" spans="2:12" x14ac:dyDescent="0.25">
      <c r="B19" s="1" t="s">
        <v>43</v>
      </c>
      <c r="F19" s="13">
        <f t="shared" si="1"/>
        <v>0</v>
      </c>
      <c r="G19" s="16">
        <v>0.3</v>
      </c>
      <c r="H19" s="13">
        <f t="shared" si="2"/>
        <v>0</v>
      </c>
      <c r="I19" s="13">
        <f t="shared" ref="I19:I41" si="3">H19+F19</f>
        <v>0</v>
      </c>
    </row>
    <row r="20" spans="2:12" x14ac:dyDescent="0.25">
      <c r="B20" s="1" t="s">
        <v>54</v>
      </c>
      <c r="E20" s="13">
        <v>52000000</v>
      </c>
      <c r="F20" s="13">
        <f t="shared" si="1"/>
        <v>55107727.445755616</v>
      </c>
      <c r="G20" s="16"/>
      <c r="H20" s="13">
        <f t="shared" si="2"/>
        <v>0</v>
      </c>
      <c r="I20" s="13">
        <f t="shared" si="3"/>
        <v>55107727.445755616</v>
      </c>
    </row>
    <row r="21" spans="2:12" x14ac:dyDescent="0.25">
      <c r="B21" s="1" t="s">
        <v>37</v>
      </c>
      <c r="E21" s="13">
        <v>257500</v>
      </c>
      <c r="F21" s="13">
        <f t="shared" si="1"/>
        <v>272889.22725542443</v>
      </c>
      <c r="G21" s="16">
        <v>0.2</v>
      </c>
      <c r="H21" s="13">
        <f t="shared" si="2"/>
        <v>54577.84545108489</v>
      </c>
      <c r="I21" s="13">
        <f t="shared" si="3"/>
        <v>327467.07270650932</v>
      </c>
    </row>
    <row r="22" spans="2:12" x14ac:dyDescent="0.25">
      <c r="B22" s="1" t="s">
        <v>24</v>
      </c>
      <c r="C22" s="1"/>
      <c r="D22" s="1">
        <v>4</v>
      </c>
      <c r="E22" s="13">
        <v>202000</v>
      </c>
      <c r="F22" s="13">
        <f t="shared" si="1"/>
        <v>214072.32584697372</v>
      </c>
      <c r="G22" s="16">
        <v>0.2</v>
      </c>
      <c r="H22" s="13">
        <f t="shared" si="2"/>
        <v>42814.465169394745</v>
      </c>
      <c r="I22" s="13">
        <f t="shared" si="3"/>
        <v>256886.79101636846</v>
      </c>
    </row>
    <row r="23" spans="2:12" x14ac:dyDescent="0.25">
      <c r="B23" s="1" t="s">
        <v>25</v>
      </c>
      <c r="C23" s="1"/>
      <c r="D23" s="1">
        <v>1</v>
      </c>
      <c r="E23" s="13">
        <v>87900</v>
      </c>
      <c r="F23" s="13">
        <f t="shared" si="1"/>
        <v>93153.25466311381</v>
      </c>
      <c r="G23" s="16">
        <v>0.2</v>
      </c>
      <c r="H23" s="13">
        <f t="shared" si="2"/>
        <v>18630.650932622764</v>
      </c>
      <c r="I23" s="13">
        <f t="shared" si="3"/>
        <v>111783.90559573658</v>
      </c>
    </row>
    <row r="24" spans="2:12" x14ac:dyDescent="0.25">
      <c r="B24" s="1" t="s">
        <v>50</v>
      </c>
      <c r="D24" s="12" t="s">
        <v>51</v>
      </c>
      <c r="E24" s="13">
        <v>14300</v>
      </c>
      <c r="F24" s="13">
        <f t="shared" si="1"/>
        <v>15154.625047582793</v>
      </c>
      <c r="G24" s="16">
        <v>0.2</v>
      </c>
      <c r="H24" s="13">
        <f t="shared" si="2"/>
        <v>3030.9250095165589</v>
      </c>
      <c r="I24" s="13">
        <f t="shared" si="3"/>
        <v>18185.550057099354</v>
      </c>
    </row>
    <row r="25" spans="2:12" ht="18.75" customHeight="1" x14ac:dyDescent="0.25">
      <c r="B25" s="1" t="s">
        <v>38</v>
      </c>
      <c r="E25" s="13"/>
      <c r="F25" s="13">
        <f t="shared" si="1"/>
        <v>0</v>
      </c>
      <c r="G25" s="16">
        <v>0.2</v>
      </c>
      <c r="H25" s="13">
        <f t="shared" si="2"/>
        <v>0</v>
      </c>
      <c r="I25" s="13">
        <f t="shared" si="3"/>
        <v>0</v>
      </c>
      <c r="L25" t="s">
        <v>52</v>
      </c>
    </row>
    <row r="26" spans="2:12" ht="15" customHeight="1" x14ac:dyDescent="0.25">
      <c r="B26" s="1" t="s">
        <v>19</v>
      </c>
      <c r="C26" s="1"/>
      <c r="D26" s="1"/>
      <c r="E26" s="13"/>
      <c r="F26" s="13">
        <f t="shared" si="1"/>
        <v>0</v>
      </c>
      <c r="G26" s="16">
        <v>0.3</v>
      </c>
      <c r="H26" s="13">
        <f t="shared" si="2"/>
        <v>0</v>
      </c>
      <c r="I26" s="13">
        <f t="shared" si="3"/>
        <v>0</v>
      </c>
      <c r="L26" t="s">
        <v>53</v>
      </c>
    </row>
    <row r="27" spans="2:12" x14ac:dyDescent="0.25">
      <c r="B27" s="1" t="s">
        <v>32</v>
      </c>
      <c r="E27" s="13"/>
      <c r="F27" s="13">
        <f t="shared" si="1"/>
        <v>0</v>
      </c>
      <c r="G27" s="16">
        <v>0.2</v>
      </c>
      <c r="H27" s="13">
        <f t="shared" si="2"/>
        <v>0</v>
      </c>
      <c r="I27" s="13">
        <f t="shared" si="3"/>
        <v>0</v>
      </c>
    </row>
    <row r="28" spans="2:12" x14ac:dyDescent="0.25">
      <c r="B28" s="1" t="s">
        <v>20</v>
      </c>
      <c r="C28" s="1">
        <v>491</v>
      </c>
      <c r="D28" s="1"/>
      <c r="E28" s="13">
        <v>35400</v>
      </c>
      <c r="F28" s="13">
        <f t="shared" si="1"/>
        <v>37515.645222687475</v>
      </c>
      <c r="G28" s="16">
        <v>0.2</v>
      </c>
      <c r="H28" s="13">
        <f t="shared" si="2"/>
        <v>7503.1290445374952</v>
      </c>
      <c r="I28" s="13">
        <f t="shared" si="3"/>
        <v>45018.774267224973</v>
      </c>
    </row>
    <row r="29" spans="2:12" x14ac:dyDescent="0.25">
      <c r="B29" s="1" t="s">
        <v>21</v>
      </c>
      <c r="C29" s="1">
        <v>2860</v>
      </c>
      <c r="D29" s="1"/>
      <c r="E29" s="13">
        <v>117500</v>
      </c>
      <c r="F29" s="13">
        <f t="shared" si="1"/>
        <v>124522.26874762085</v>
      </c>
      <c r="G29" s="16">
        <v>0.2</v>
      </c>
      <c r="H29" s="13">
        <f t="shared" si="2"/>
        <v>24904.453749524171</v>
      </c>
      <c r="I29" s="13">
        <f t="shared" si="3"/>
        <v>149426.72249714503</v>
      </c>
    </row>
    <row r="30" spans="2:12" x14ac:dyDescent="0.25">
      <c r="B30" s="1" t="s">
        <v>22</v>
      </c>
      <c r="C30" s="1">
        <v>1200</v>
      </c>
      <c r="D30" s="1"/>
      <c r="E30" s="13">
        <v>65100</v>
      </c>
      <c r="F30" s="13">
        <f t="shared" si="1"/>
        <v>68990.635706128669</v>
      </c>
      <c r="G30" s="16">
        <v>0.2</v>
      </c>
      <c r="H30" s="13">
        <f t="shared" si="2"/>
        <v>13798.127141225734</v>
      </c>
      <c r="I30" s="13">
        <f t="shared" si="3"/>
        <v>82788.762847354403</v>
      </c>
    </row>
    <row r="31" spans="2:12" x14ac:dyDescent="0.25">
      <c r="B31" s="1" t="s">
        <v>35</v>
      </c>
      <c r="E31" s="13">
        <v>60700</v>
      </c>
      <c r="F31" s="13">
        <f t="shared" si="1"/>
        <v>64327.674153026266</v>
      </c>
      <c r="G31" s="16">
        <v>0.2</v>
      </c>
      <c r="H31" s="13">
        <f t="shared" si="2"/>
        <v>12865.534830605255</v>
      </c>
      <c r="I31" s="13">
        <f t="shared" si="3"/>
        <v>77193.208983631514</v>
      </c>
    </row>
    <row r="32" spans="2:12" x14ac:dyDescent="0.25">
      <c r="B32" s="1" t="s">
        <v>31</v>
      </c>
      <c r="E32" s="13"/>
      <c r="F32" s="13">
        <f t="shared" si="1"/>
        <v>0</v>
      </c>
      <c r="G32" s="16"/>
      <c r="H32" s="13">
        <f t="shared" si="2"/>
        <v>0</v>
      </c>
      <c r="I32" s="13">
        <f t="shared" si="3"/>
        <v>0</v>
      </c>
      <c r="L32" t="s">
        <v>47</v>
      </c>
    </row>
    <row r="33" spans="2:12" x14ac:dyDescent="0.25">
      <c r="B33" s="1" t="s">
        <v>36</v>
      </c>
      <c r="F33" s="13">
        <f t="shared" si="1"/>
        <v>0</v>
      </c>
      <c r="G33" s="16">
        <v>0.3</v>
      </c>
      <c r="H33" s="13">
        <f t="shared" si="2"/>
        <v>0</v>
      </c>
      <c r="I33" s="13">
        <f t="shared" si="3"/>
        <v>0</v>
      </c>
    </row>
    <row r="34" spans="2:12" ht="18" customHeight="1" x14ac:dyDescent="0.25">
      <c r="B34" s="1" t="s">
        <v>41</v>
      </c>
      <c r="F34" s="13">
        <f t="shared" si="1"/>
        <v>0</v>
      </c>
      <c r="G34" s="16">
        <v>0.2</v>
      </c>
      <c r="H34" s="13">
        <f t="shared" si="2"/>
        <v>0</v>
      </c>
      <c r="I34" s="13">
        <f t="shared" si="3"/>
        <v>0</v>
      </c>
      <c r="L34" t="s">
        <v>55</v>
      </c>
    </row>
    <row r="35" spans="2:12" x14ac:dyDescent="0.25">
      <c r="B35" s="1" t="s">
        <v>29</v>
      </c>
      <c r="E35" s="13">
        <v>211500</v>
      </c>
      <c r="F35" s="13">
        <f t="shared" si="1"/>
        <v>224140.08374571754</v>
      </c>
      <c r="G35" s="16"/>
      <c r="H35" s="13">
        <f t="shared" si="2"/>
        <v>0</v>
      </c>
      <c r="I35" s="13">
        <f t="shared" si="3"/>
        <v>224140.08374571754</v>
      </c>
    </row>
    <row r="36" spans="2:12" x14ac:dyDescent="0.25">
      <c r="B36" s="1" t="s">
        <v>30</v>
      </c>
      <c r="E36" s="13">
        <v>97300</v>
      </c>
      <c r="F36" s="13">
        <f t="shared" si="1"/>
        <v>103115.03616292348</v>
      </c>
      <c r="G36" s="16"/>
      <c r="H36" s="13">
        <f t="shared" si="2"/>
        <v>0</v>
      </c>
      <c r="I36" s="13">
        <f t="shared" si="3"/>
        <v>103115.03616292348</v>
      </c>
    </row>
    <row r="37" spans="2:12" x14ac:dyDescent="0.25">
      <c r="B37" s="1" t="s">
        <v>40</v>
      </c>
      <c r="F37" s="13">
        <f t="shared" si="1"/>
        <v>0</v>
      </c>
      <c r="G37" s="16"/>
      <c r="H37" s="13">
        <f t="shared" si="2"/>
        <v>0</v>
      </c>
      <c r="I37" s="13">
        <f t="shared" si="3"/>
        <v>0</v>
      </c>
      <c r="L37" t="s">
        <v>56</v>
      </c>
    </row>
    <row r="38" spans="2:12" x14ac:dyDescent="0.25">
      <c r="B38" s="1" t="s">
        <v>33</v>
      </c>
      <c r="E38" s="13"/>
      <c r="F38" s="13">
        <f t="shared" si="1"/>
        <v>0</v>
      </c>
      <c r="G38" s="16">
        <v>0.3</v>
      </c>
      <c r="H38" s="13">
        <f t="shared" si="2"/>
        <v>0</v>
      </c>
      <c r="I38" s="13">
        <f t="shared" si="3"/>
        <v>0</v>
      </c>
    </row>
    <row r="39" spans="2:12" x14ac:dyDescent="0.25">
      <c r="B39" s="1" t="s">
        <v>42</v>
      </c>
      <c r="F39" s="13">
        <f t="shared" si="1"/>
        <v>0</v>
      </c>
      <c r="G39" s="16">
        <v>0.15</v>
      </c>
      <c r="H39" s="13">
        <f t="shared" si="2"/>
        <v>0</v>
      </c>
      <c r="I39" s="13">
        <f t="shared" si="3"/>
        <v>0</v>
      </c>
    </row>
    <row r="40" spans="2:12" x14ac:dyDescent="0.25">
      <c r="B40" s="1" t="s">
        <v>39</v>
      </c>
      <c r="E40" s="13">
        <v>15852300</v>
      </c>
      <c r="F40" s="13">
        <f t="shared" si="1"/>
        <v>16799696.688237533</v>
      </c>
      <c r="G40" s="16"/>
      <c r="H40" s="13">
        <f t="shared" si="2"/>
        <v>0</v>
      </c>
      <c r="I40" s="13">
        <f t="shared" si="3"/>
        <v>16799696.688237533</v>
      </c>
    </row>
    <row r="41" spans="2:12" x14ac:dyDescent="0.25">
      <c r="B41" s="1" t="s">
        <v>27</v>
      </c>
      <c r="C41" s="1"/>
      <c r="E41" s="13"/>
      <c r="F41" s="13">
        <f t="shared" si="1"/>
        <v>0</v>
      </c>
      <c r="G41" s="16"/>
      <c r="H41" s="13">
        <f t="shared" si="2"/>
        <v>0</v>
      </c>
      <c r="I41" s="13">
        <f t="shared" si="3"/>
        <v>0</v>
      </c>
    </row>
    <row r="42" spans="2:12" x14ac:dyDescent="0.25">
      <c r="E42" s="13">
        <f>SUM(E17:E41)</f>
        <v>69001514</v>
      </c>
      <c r="F42" s="13">
        <f t="shared" ref="F42" si="4">(556.8/525.4)*E42</f>
        <v>73125319.747240201</v>
      </c>
      <c r="G42" s="16"/>
      <c r="H42" s="13">
        <f>SUM(H17:H41)</f>
        <v>178125.13132851163</v>
      </c>
      <c r="I42" s="13">
        <f>SUM(I17:I41)</f>
        <v>173303444.87856871</v>
      </c>
    </row>
    <row r="43" spans="2:12" x14ac:dyDescent="0.25">
      <c r="F43" s="13"/>
    </row>
    <row r="44" spans="2:12" x14ac:dyDescent="0.25">
      <c r="B44" s="1" t="s">
        <v>58</v>
      </c>
      <c r="D44" s="13">
        <f>I42</f>
        <v>173303444.87856871</v>
      </c>
      <c r="F44" s="13"/>
    </row>
    <row r="45" spans="2:12" x14ac:dyDescent="0.25">
      <c r="B45" s="1" t="s">
        <v>59</v>
      </c>
      <c r="F45" s="13"/>
    </row>
    <row r="46" spans="2:12" x14ac:dyDescent="0.25">
      <c r="B46" s="1" t="s">
        <v>60</v>
      </c>
    </row>
    <row r="47" spans="2:12" x14ac:dyDescent="0.25">
      <c r="B47" s="1" t="s">
        <v>61</v>
      </c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9"/>
  <sheetViews>
    <sheetView topLeftCell="A2" workbookViewId="0">
      <selection activeCell="A11" sqref="A11"/>
    </sheetView>
  </sheetViews>
  <sheetFormatPr defaultRowHeight="15" x14ac:dyDescent="0.25"/>
  <cols>
    <col min="1" max="1" width="15.5703125" customWidth="1"/>
    <col min="2" max="2" width="16.85546875" customWidth="1"/>
    <col min="3" max="3" width="13.7109375" customWidth="1"/>
    <col min="4" max="4" width="13.42578125" customWidth="1"/>
    <col min="5" max="5" width="13.5703125" customWidth="1"/>
    <col min="6" max="6" width="14.42578125" customWidth="1"/>
    <col min="7" max="7" width="13" customWidth="1"/>
    <col min="8" max="8" width="12.140625" customWidth="1"/>
    <col min="9" max="9" width="18.28515625" customWidth="1"/>
    <col min="10" max="10" width="12.140625" customWidth="1"/>
    <col min="11" max="11" width="11.85546875" customWidth="1"/>
    <col min="12" max="12" width="12.28515625" customWidth="1"/>
    <col min="13" max="13" width="12.5703125" customWidth="1"/>
    <col min="14" max="14" width="11.5703125" customWidth="1"/>
    <col min="15" max="15" width="12.28515625" customWidth="1"/>
    <col min="16" max="16" width="13.42578125" customWidth="1"/>
    <col min="17" max="17" width="13.28515625" customWidth="1"/>
    <col min="18" max="18" width="12.7109375" customWidth="1"/>
    <col min="19" max="19" width="12.42578125" customWidth="1"/>
  </cols>
  <sheetData>
    <row r="3" spans="1:19" x14ac:dyDescent="0.25">
      <c r="C3" s="17" t="s">
        <v>63</v>
      </c>
    </row>
    <row r="4" spans="1:19" x14ac:dyDescent="0.25">
      <c r="C4" s="17"/>
    </row>
    <row r="5" spans="1:19" x14ac:dyDescent="0.25">
      <c r="A5" t="s">
        <v>64</v>
      </c>
      <c r="B5">
        <v>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</row>
    <row r="7" spans="1:19" x14ac:dyDescent="0.25">
      <c r="A7" s="17" t="s">
        <v>65</v>
      </c>
      <c r="B7" s="24">
        <f>-Sheet1!D44</f>
        <v>-173303444.87856871</v>
      </c>
      <c r="C7" s="18"/>
    </row>
    <row r="9" spans="1:19" x14ac:dyDescent="0.25">
      <c r="A9" s="19" t="s">
        <v>66</v>
      </c>
    </row>
    <row r="11" spans="1:19" x14ac:dyDescent="0.25">
      <c r="A11" t="s">
        <v>94</v>
      </c>
    </row>
    <row r="12" spans="1:19" x14ac:dyDescent="0.25">
      <c r="A12" t="s">
        <v>95</v>
      </c>
      <c r="C12" s="20">
        <f>73500000</f>
        <v>73500000</v>
      </c>
      <c r="D12" s="20">
        <f>C12*1.02</f>
        <v>74970000</v>
      </c>
      <c r="E12" s="20">
        <f t="shared" ref="E12:S12" si="0">D12*1.02</f>
        <v>76469400</v>
      </c>
      <c r="F12" s="20">
        <f t="shared" si="0"/>
        <v>77998788</v>
      </c>
      <c r="G12" s="20">
        <f t="shared" si="0"/>
        <v>79558763.760000005</v>
      </c>
      <c r="H12" s="20">
        <f t="shared" si="0"/>
        <v>81149939.0352</v>
      </c>
      <c r="I12" s="20">
        <f t="shared" si="0"/>
        <v>82772937.815904006</v>
      </c>
      <c r="J12" s="20">
        <f t="shared" si="0"/>
        <v>84428396.572222084</v>
      </c>
      <c r="K12" s="20">
        <f t="shared" si="0"/>
        <v>86116964.50366652</v>
      </c>
      <c r="L12" s="20">
        <f t="shared" si="0"/>
        <v>87839303.793739855</v>
      </c>
      <c r="M12" s="20">
        <f t="shared" si="0"/>
        <v>89596089.869614661</v>
      </c>
      <c r="N12" s="20">
        <f t="shared" si="0"/>
        <v>91388011.667006955</v>
      </c>
      <c r="O12" s="20">
        <f t="shared" si="0"/>
        <v>93215771.900347099</v>
      </c>
      <c r="P12" s="20">
        <f t="shared" si="0"/>
        <v>95080087.338354036</v>
      </c>
      <c r="Q12" s="20">
        <f t="shared" si="0"/>
        <v>96981689.085121125</v>
      </c>
      <c r="R12" s="20">
        <f t="shared" si="0"/>
        <v>98921322.866823554</v>
      </c>
      <c r="S12" s="20">
        <f t="shared" si="0"/>
        <v>100899749.32416002</v>
      </c>
    </row>
    <row r="14" spans="1:19" x14ac:dyDescent="0.25">
      <c r="A14" s="19" t="s">
        <v>69</v>
      </c>
    </row>
    <row r="16" spans="1:19" x14ac:dyDescent="0.25">
      <c r="A16" s="21" t="s">
        <v>70</v>
      </c>
    </row>
    <row r="17" spans="1:19" x14ac:dyDescent="0.25">
      <c r="A17" t="s">
        <v>71</v>
      </c>
      <c r="C17" s="22">
        <f>IPMT(0.06,C5,17,$B$7,0)</f>
        <v>10398206.692714123</v>
      </c>
      <c r="D17" s="22">
        <f t="shared" ref="D17:S17" si="1">IPMT(0.06,D5,17,$B$7,0)</f>
        <v>10029644.292131675</v>
      </c>
      <c r="E17" s="22">
        <f t="shared" si="1"/>
        <v>9638968.1475142874</v>
      </c>
      <c r="F17" s="22">
        <f t="shared" si="1"/>
        <v>9224851.4342198502</v>
      </c>
      <c r="G17" s="22">
        <f t="shared" si="1"/>
        <v>8785887.7181277517</v>
      </c>
      <c r="H17" s="22">
        <f t="shared" si="1"/>
        <v>8320586.1790701253</v>
      </c>
      <c r="I17" s="22">
        <f t="shared" si="1"/>
        <v>7827366.5476690419</v>
      </c>
      <c r="J17" s="22">
        <f t="shared" si="1"/>
        <v>7304553.7383838929</v>
      </c>
      <c r="K17" s="22">
        <f t="shared" si="1"/>
        <v>6750372.1605416359</v>
      </c>
      <c r="L17" s="22">
        <f t="shared" si="1"/>
        <v>6162939.6880288403</v>
      </c>
      <c r="M17" s="22">
        <f t="shared" si="1"/>
        <v>5540261.2671652809</v>
      </c>
      <c r="N17" s="22">
        <f t="shared" si="1"/>
        <v>4880222.1410499057</v>
      </c>
      <c r="O17" s="22">
        <f t="shared" si="1"/>
        <v>4180580.6673676111</v>
      </c>
      <c r="P17" s="22">
        <f t="shared" si="1"/>
        <v>3438960.705264376</v>
      </c>
      <c r="Q17" s="22">
        <f t="shared" si="1"/>
        <v>2652843.5454349467</v>
      </c>
      <c r="R17" s="22">
        <f t="shared" si="1"/>
        <v>1819559.3560157528</v>
      </c>
      <c r="S17" s="22">
        <f t="shared" si="1"/>
        <v>936278.11523140676</v>
      </c>
    </row>
    <row r="18" spans="1:19" x14ac:dyDescent="0.25">
      <c r="A18" t="s">
        <v>72</v>
      </c>
      <c r="C18" s="18">
        <v>13432806</v>
      </c>
      <c r="D18" s="18">
        <f>C18*1.03</f>
        <v>13835790.18</v>
      </c>
      <c r="E18" s="18">
        <f t="shared" ref="E18:S18" si="2">D18*1.03</f>
        <v>14250863.885400001</v>
      </c>
      <c r="F18" s="18">
        <f t="shared" si="2"/>
        <v>14678389.801962001</v>
      </c>
      <c r="G18" s="18">
        <f t="shared" si="2"/>
        <v>15118741.496020861</v>
      </c>
      <c r="H18" s="18">
        <f t="shared" si="2"/>
        <v>15572303.740901487</v>
      </c>
      <c r="I18" s="18">
        <f t="shared" si="2"/>
        <v>16039472.853128532</v>
      </c>
      <c r="J18" s="18">
        <f t="shared" si="2"/>
        <v>16520657.038722388</v>
      </c>
      <c r="K18" s="18">
        <f t="shared" si="2"/>
        <v>17016276.749884062</v>
      </c>
      <c r="L18" s="18">
        <f t="shared" si="2"/>
        <v>17526765.052380584</v>
      </c>
      <c r="M18" s="18">
        <f t="shared" si="2"/>
        <v>18052568.003952004</v>
      </c>
      <c r="N18" s="18">
        <f t="shared" si="2"/>
        <v>18594145.044070564</v>
      </c>
      <c r="O18" s="18">
        <f t="shared" si="2"/>
        <v>19151969.395392682</v>
      </c>
      <c r="P18" s="18">
        <f t="shared" si="2"/>
        <v>19726528.477254465</v>
      </c>
      <c r="Q18" s="18">
        <f t="shared" si="2"/>
        <v>20318324.331572101</v>
      </c>
      <c r="R18" s="18">
        <f t="shared" si="2"/>
        <v>20927874.061519265</v>
      </c>
      <c r="S18" s="18">
        <f t="shared" si="2"/>
        <v>21555710.283364844</v>
      </c>
    </row>
    <row r="19" spans="1:19" x14ac:dyDescent="0.25">
      <c r="A19" t="s">
        <v>73</v>
      </c>
      <c r="C19" s="24">
        <f>Sheet1!G8</f>
        <v>111720</v>
      </c>
      <c r="D19" s="18">
        <f>1.02*C19</f>
        <v>113954.40000000001</v>
      </c>
      <c r="E19" s="18">
        <f t="shared" ref="E19:S19" si="3">1.02*D19</f>
        <v>116233.48800000001</v>
      </c>
      <c r="F19" s="18">
        <f t="shared" si="3"/>
        <v>118558.15776000002</v>
      </c>
      <c r="G19" s="18">
        <f t="shared" si="3"/>
        <v>120929.32091520002</v>
      </c>
      <c r="H19" s="18">
        <f t="shared" si="3"/>
        <v>123347.90733350402</v>
      </c>
      <c r="I19" s="18">
        <f t="shared" si="3"/>
        <v>125814.86548017409</v>
      </c>
      <c r="J19" s="18">
        <f t="shared" si="3"/>
        <v>128331.16278977758</v>
      </c>
      <c r="K19" s="18">
        <f t="shared" si="3"/>
        <v>130897.78604557313</v>
      </c>
      <c r="L19" s="18">
        <f t="shared" si="3"/>
        <v>133515.7417664846</v>
      </c>
      <c r="M19" s="18">
        <f t="shared" si="3"/>
        <v>136186.05660181429</v>
      </c>
      <c r="N19" s="18">
        <f t="shared" si="3"/>
        <v>138909.77773385058</v>
      </c>
      <c r="O19" s="18">
        <f t="shared" si="3"/>
        <v>141687.9732885276</v>
      </c>
      <c r="P19" s="18">
        <f t="shared" si="3"/>
        <v>144521.73275429817</v>
      </c>
      <c r="Q19" s="18">
        <f t="shared" si="3"/>
        <v>147412.16740938413</v>
      </c>
      <c r="R19" s="18">
        <f t="shared" si="3"/>
        <v>150360.41075757181</v>
      </c>
      <c r="S19" s="18">
        <f t="shared" si="3"/>
        <v>153367.61897272326</v>
      </c>
    </row>
    <row r="20" spans="1:19" x14ac:dyDescent="0.25">
      <c r="A20" t="s">
        <v>74</v>
      </c>
      <c r="C20" s="18">
        <v>300000</v>
      </c>
      <c r="D20" s="18">
        <f t="shared" ref="D20:S21" si="4">1.02*C20</f>
        <v>306000</v>
      </c>
      <c r="E20" s="18">
        <f t="shared" si="4"/>
        <v>312120</v>
      </c>
      <c r="F20" s="18">
        <f t="shared" si="4"/>
        <v>318362.40000000002</v>
      </c>
      <c r="G20" s="18">
        <f t="shared" si="4"/>
        <v>324729.64800000004</v>
      </c>
      <c r="H20" s="18">
        <f t="shared" si="4"/>
        <v>331224.24096000002</v>
      </c>
      <c r="I20" s="18">
        <f t="shared" si="4"/>
        <v>337848.72577920003</v>
      </c>
      <c r="J20" s="18">
        <f t="shared" si="4"/>
        <v>344605.70029478404</v>
      </c>
      <c r="K20" s="18">
        <f t="shared" si="4"/>
        <v>351497.81430067972</v>
      </c>
      <c r="L20" s="18">
        <f t="shared" si="4"/>
        <v>358527.77058669331</v>
      </c>
      <c r="M20" s="18">
        <f t="shared" si="4"/>
        <v>365698.32599842717</v>
      </c>
      <c r="N20" s="18">
        <f t="shared" si="4"/>
        <v>373012.2925183957</v>
      </c>
      <c r="O20" s="18">
        <f t="shared" si="4"/>
        <v>380472.53836876363</v>
      </c>
      <c r="P20" s="18">
        <f t="shared" si="4"/>
        <v>388081.98913613893</v>
      </c>
      <c r="Q20" s="18">
        <f t="shared" si="4"/>
        <v>395843.62891886174</v>
      </c>
      <c r="R20" s="18">
        <f t="shared" si="4"/>
        <v>403760.50149723899</v>
      </c>
      <c r="S20" s="18">
        <f t="shared" si="4"/>
        <v>411835.71152718377</v>
      </c>
    </row>
    <row r="21" spans="1:19" x14ac:dyDescent="0.25">
      <c r="A21" t="s">
        <v>75</v>
      </c>
      <c r="C21" s="18">
        <v>60000</v>
      </c>
      <c r="D21" s="18">
        <f t="shared" si="4"/>
        <v>61200</v>
      </c>
      <c r="E21" s="18">
        <f t="shared" si="4"/>
        <v>62424</v>
      </c>
      <c r="F21" s="18">
        <f t="shared" si="4"/>
        <v>63672.480000000003</v>
      </c>
      <c r="G21" s="18">
        <f t="shared" si="4"/>
        <v>64945.929600000003</v>
      </c>
      <c r="H21" s="18">
        <f t="shared" si="4"/>
        <v>66244.848192000005</v>
      </c>
      <c r="I21" s="18">
        <f t="shared" si="4"/>
        <v>67569.745155840006</v>
      </c>
      <c r="J21" s="18">
        <f t="shared" si="4"/>
        <v>68921.140058956807</v>
      </c>
      <c r="K21" s="18">
        <f t="shared" si="4"/>
        <v>70299.562860135949</v>
      </c>
      <c r="L21" s="18">
        <f t="shared" si="4"/>
        <v>71705.554117338674</v>
      </c>
      <c r="M21" s="18">
        <f t="shared" si="4"/>
        <v>73139.665199685449</v>
      </c>
      <c r="N21" s="18">
        <f t="shared" si="4"/>
        <v>74602.458503679154</v>
      </c>
      <c r="O21" s="18">
        <f t="shared" si="4"/>
        <v>76094.507673752742</v>
      </c>
      <c r="P21" s="18">
        <f t="shared" si="4"/>
        <v>77616.397827227804</v>
      </c>
      <c r="Q21" s="18">
        <f t="shared" si="4"/>
        <v>79168.725783772359</v>
      </c>
      <c r="R21" s="18">
        <f t="shared" si="4"/>
        <v>80752.100299447804</v>
      </c>
      <c r="S21" s="18">
        <f t="shared" si="4"/>
        <v>82367.142305436762</v>
      </c>
    </row>
    <row r="22" spans="1:19" x14ac:dyDescent="0.25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25">
      <c r="A23" t="s">
        <v>76</v>
      </c>
      <c r="C23" s="18">
        <v>2941176</v>
      </c>
      <c r="D23" s="18">
        <v>2941176</v>
      </c>
      <c r="E23" s="18">
        <v>2941176</v>
      </c>
      <c r="F23" s="18">
        <v>2941176</v>
      </c>
      <c r="G23" s="18">
        <v>2941176</v>
      </c>
      <c r="H23" s="18">
        <v>2941176</v>
      </c>
      <c r="I23" s="18">
        <v>2941176</v>
      </c>
      <c r="J23" s="18">
        <v>2941176</v>
      </c>
      <c r="K23" s="18">
        <v>2941176</v>
      </c>
      <c r="L23" s="18">
        <v>2941176</v>
      </c>
      <c r="M23" s="18">
        <v>2941176</v>
      </c>
      <c r="N23" s="18">
        <v>2941176</v>
      </c>
      <c r="O23" s="18">
        <v>2941176</v>
      </c>
      <c r="P23" s="18">
        <v>2941176</v>
      </c>
      <c r="Q23" s="18">
        <v>2941176</v>
      </c>
      <c r="R23" s="18">
        <v>2941176</v>
      </c>
      <c r="S23" s="18">
        <v>2941176</v>
      </c>
    </row>
    <row r="24" spans="1:19" x14ac:dyDescent="0.25">
      <c r="A24" t="s">
        <v>77</v>
      </c>
      <c r="C24" s="18">
        <v>3113600</v>
      </c>
      <c r="D24" s="18">
        <f>1.03*C24</f>
        <v>3207008</v>
      </c>
      <c r="E24" s="18">
        <f t="shared" ref="E24:S24" si="5">1.03*D24</f>
        <v>3303218.24</v>
      </c>
      <c r="F24" s="18">
        <f t="shared" si="5"/>
        <v>3402314.7872000001</v>
      </c>
      <c r="G24" s="18">
        <f t="shared" si="5"/>
        <v>3504384.2308160001</v>
      </c>
      <c r="H24" s="18">
        <f t="shared" si="5"/>
        <v>3609515.7577404804</v>
      </c>
      <c r="I24" s="18">
        <f t="shared" si="5"/>
        <v>3717801.2304726951</v>
      </c>
      <c r="J24" s="18">
        <f t="shared" si="5"/>
        <v>3829335.267386876</v>
      </c>
      <c r="K24" s="18">
        <f t="shared" si="5"/>
        <v>3944215.3254084825</v>
      </c>
      <c r="L24" s="18">
        <f t="shared" si="5"/>
        <v>4062541.7851707372</v>
      </c>
      <c r="M24" s="18">
        <f t="shared" si="5"/>
        <v>4184418.0387258595</v>
      </c>
      <c r="N24" s="18">
        <f t="shared" si="5"/>
        <v>4309950.5798876351</v>
      </c>
      <c r="O24" s="18">
        <f t="shared" si="5"/>
        <v>4439249.0972842639</v>
      </c>
      <c r="P24" s="18">
        <f t="shared" si="5"/>
        <v>4572426.5702027921</v>
      </c>
      <c r="Q24" s="18">
        <f t="shared" si="5"/>
        <v>4709599.3673088755</v>
      </c>
      <c r="R24" s="18">
        <f t="shared" si="5"/>
        <v>4850887.3483281415</v>
      </c>
      <c r="S24" s="18">
        <f t="shared" si="5"/>
        <v>4996413.9687779862</v>
      </c>
    </row>
    <row r="25" spans="1:19" x14ac:dyDescent="0.25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5">
      <c r="A26" t="s">
        <v>78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t="s">
        <v>79</v>
      </c>
      <c r="C27" s="18">
        <f>-0.03*B7</f>
        <v>5199103.3463570615</v>
      </c>
      <c r="D27" s="18">
        <f>1.02*C27</f>
        <v>5303085.413284203</v>
      </c>
      <c r="E27" s="18">
        <f t="shared" ref="E27:S27" si="6">1.02*D27</f>
        <v>5409147.1215498876</v>
      </c>
      <c r="F27" s="18">
        <f t="shared" si="6"/>
        <v>5517330.0639808858</v>
      </c>
      <c r="G27" s="18">
        <f t="shared" si="6"/>
        <v>5627676.665260504</v>
      </c>
      <c r="H27" s="18">
        <f t="shared" si="6"/>
        <v>5740230.1985657141</v>
      </c>
      <c r="I27" s="18">
        <f t="shared" si="6"/>
        <v>5855034.8025370287</v>
      </c>
      <c r="J27" s="18">
        <f t="shared" si="6"/>
        <v>5972135.4985877695</v>
      </c>
      <c r="K27" s="18">
        <f t="shared" si="6"/>
        <v>6091578.2085595252</v>
      </c>
      <c r="L27" s="18">
        <f t="shared" si="6"/>
        <v>6213409.7727307156</v>
      </c>
      <c r="M27" s="18">
        <f t="shared" si="6"/>
        <v>6337677.9681853298</v>
      </c>
      <c r="N27" s="18">
        <f t="shared" si="6"/>
        <v>6464431.5275490368</v>
      </c>
      <c r="O27" s="18">
        <f t="shared" si="6"/>
        <v>6593720.1581000173</v>
      </c>
      <c r="P27" s="18">
        <f t="shared" si="6"/>
        <v>6725594.561262018</v>
      </c>
      <c r="Q27" s="18">
        <f t="shared" si="6"/>
        <v>6860106.4524872582</v>
      </c>
      <c r="R27" s="18">
        <f t="shared" si="6"/>
        <v>6997308.5815370036</v>
      </c>
      <c r="S27" s="18">
        <f t="shared" si="6"/>
        <v>7137254.7531677438</v>
      </c>
    </row>
    <row r="28" spans="1:19" x14ac:dyDescent="0.25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5">
      <c r="A29" t="s">
        <v>0</v>
      </c>
      <c r="C29" s="24">
        <f>Sheet1!G9</f>
        <v>49114744</v>
      </c>
      <c r="D29" s="18">
        <f>1.02*C29</f>
        <v>50097038.880000003</v>
      </c>
      <c r="E29" s="18">
        <f t="shared" ref="E29:S29" si="7">1.02*D29</f>
        <v>51098979.657600001</v>
      </c>
      <c r="F29" s="18">
        <f t="shared" si="7"/>
        <v>52120959.250752002</v>
      </c>
      <c r="G29" s="18">
        <f t="shared" si="7"/>
        <v>53163378.43576704</v>
      </c>
      <c r="H29" s="18">
        <f t="shared" si="7"/>
        <v>54226646.004482381</v>
      </c>
      <c r="I29" s="18">
        <f t="shared" si="7"/>
        <v>55311178.924572028</v>
      </c>
      <c r="J29" s="18">
        <f t="shared" si="7"/>
        <v>56417402.50306347</v>
      </c>
      <c r="K29" s="18">
        <f t="shared" si="7"/>
        <v>57545750.553124741</v>
      </c>
      <c r="L29" s="18">
        <f t="shared" si="7"/>
        <v>58696665.564187236</v>
      </c>
      <c r="M29" s="18">
        <f t="shared" si="7"/>
        <v>59870598.875470981</v>
      </c>
      <c r="N29" s="18">
        <f t="shared" si="7"/>
        <v>61068010.852980405</v>
      </c>
      <c r="O29" s="18">
        <f t="shared" si="7"/>
        <v>62289371.070040017</v>
      </c>
      <c r="P29" s="18">
        <f t="shared" si="7"/>
        <v>63535158.491440818</v>
      </c>
      <c r="Q29" s="18">
        <f t="shared" si="7"/>
        <v>64805861.661269635</v>
      </c>
      <c r="R29" s="18">
        <f t="shared" si="7"/>
        <v>66101978.894495025</v>
      </c>
      <c r="S29" s="18">
        <f t="shared" si="7"/>
        <v>67424018.47238493</v>
      </c>
    </row>
    <row r="31" spans="1:19" x14ac:dyDescent="0.25">
      <c r="A31" s="21" t="s">
        <v>80</v>
      </c>
      <c r="C31" s="20">
        <f>SUM(C17:C30)</f>
        <v>84671356.039071187</v>
      </c>
      <c r="D31" s="20">
        <f t="shared" ref="D31:S31" si="8">SUM(D17:D30)</f>
        <v>85894897.165415883</v>
      </c>
      <c r="E31" s="20">
        <f t="shared" si="8"/>
        <v>87133130.540064186</v>
      </c>
      <c r="F31" s="20">
        <f t="shared" si="8"/>
        <v>88385614.375874743</v>
      </c>
      <c r="G31" s="20">
        <f t="shared" si="8"/>
        <v>89651849.44450736</v>
      </c>
      <c r="H31" s="20">
        <f t="shared" si="8"/>
        <v>90931274.877245694</v>
      </c>
      <c r="I31" s="20">
        <f t="shared" si="8"/>
        <v>92223263.694794536</v>
      </c>
      <c r="J31" s="20">
        <f t="shared" si="8"/>
        <v>93527118.049287915</v>
      </c>
      <c r="K31" s="20">
        <f t="shared" si="8"/>
        <v>94842064.160724834</v>
      </c>
      <c r="L31" s="20">
        <f t="shared" si="8"/>
        <v>96167246.928968638</v>
      </c>
      <c r="M31" s="20">
        <f t="shared" si="8"/>
        <v>97501724.201299384</v>
      </c>
      <c r="N31" s="20">
        <f t="shared" si="8"/>
        <v>98844460.674293473</v>
      </c>
      <c r="O31" s="20">
        <f t="shared" si="8"/>
        <v>100194321.40751565</v>
      </c>
      <c r="P31" s="20">
        <f t="shared" si="8"/>
        <v>101550064.92514214</v>
      </c>
      <c r="Q31" s="20">
        <f t="shared" si="8"/>
        <v>102910335.88018483</v>
      </c>
      <c r="R31" s="20">
        <f t="shared" si="8"/>
        <v>104273657.25444944</v>
      </c>
      <c r="S31" s="20">
        <f t="shared" si="8"/>
        <v>105638422.06573224</v>
      </c>
    </row>
    <row r="33" spans="1:19" x14ac:dyDescent="0.25">
      <c r="A33" t="s">
        <v>81</v>
      </c>
      <c r="C33" s="18">
        <f>C12-C31</f>
        <v>-11171356.039071187</v>
      </c>
      <c r="D33" s="18">
        <f t="shared" ref="D33:S33" si="9">D12-D31</f>
        <v>-10924897.165415883</v>
      </c>
      <c r="E33" s="18">
        <f t="shared" si="9"/>
        <v>-10663730.540064186</v>
      </c>
      <c r="F33" s="18">
        <f t="shared" si="9"/>
        <v>-10386826.375874743</v>
      </c>
      <c r="G33" s="18">
        <f t="shared" si="9"/>
        <v>-10093085.684507355</v>
      </c>
      <c r="H33" s="18">
        <f t="shared" si="9"/>
        <v>-9781335.8420456946</v>
      </c>
      <c r="I33" s="18">
        <f t="shared" si="9"/>
        <v>-9450325.8788905293</v>
      </c>
      <c r="J33" s="18">
        <f t="shared" si="9"/>
        <v>-9098721.4770658314</v>
      </c>
      <c r="K33" s="18">
        <f t="shared" si="9"/>
        <v>-8725099.6570583135</v>
      </c>
      <c r="L33" s="18">
        <f t="shared" si="9"/>
        <v>-8327943.1352287829</v>
      </c>
      <c r="M33" s="18">
        <f t="shared" si="9"/>
        <v>-7905634.3316847235</v>
      </c>
      <c r="N33" s="18">
        <f t="shared" si="9"/>
        <v>-7456449.0072865188</v>
      </c>
      <c r="O33" s="18">
        <f t="shared" si="9"/>
        <v>-6978549.5071685463</v>
      </c>
      <c r="P33" s="18">
        <f t="shared" si="9"/>
        <v>-6469977.586788103</v>
      </c>
      <c r="Q33" s="18">
        <f t="shared" si="9"/>
        <v>-5928646.7950637043</v>
      </c>
      <c r="R33" s="18">
        <f t="shared" si="9"/>
        <v>-5352334.387625888</v>
      </c>
      <c r="S33" s="18">
        <f t="shared" si="9"/>
        <v>-4738672.7415722162</v>
      </c>
    </row>
    <row r="35" spans="1:19" x14ac:dyDescent="0.25">
      <c r="A35" t="s">
        <v>82</v>
      </c>
      <c r="C35" s="18">
        <f>C33*0.4</f>
        <v>-4468542.4156284751</v>
      </c>
      <c r="D35" s="18">
        <f t="shared" ref="D35:S35" si="10">D33*0.4</f>
        <v>-4369958.8661663532</v>
      </c>
      <c r="E35" s="18">
        <f t="shared" si="10"/>
        <v>-4265492.2160256747</v>
      </c>
      <c r="F35" s="18">
        <f t="shared" si="10"/>
        <v>-4154730.5503498972</v>
      </c>
      <c r="G35" s="18">
        <f t="shared" si="10"/>
        <v>-4037234.2738029421</v>
      </c>
      <c r="H35" s="18">
        <f t="shared" si="10"/>
        <v>-3912534.3368182778</v>
      </c>
      <c r="I35" s="18">
        <f t="shared" si="10"/>
        <v>-3780130.3515562117</v>
      </c>
      <c r="J35" s="18">
        <f t="shared" si="10"/>
        <v>-3639488.5908263326</v>
      </c>
      <c r="K35" s="18">
        <f t="shared" si="10"/>
        <v>-3490039.8628233257</v>
      </c>
      <c r="L35" s="18">
        <f t="shared" si="10"/>
        <v>-3331177.2540915133</v>
      </c>
      <c r="M35" s="18">
        <f t="shared" si="10"/>
        <v>-3162253.7326738895</v>
      </c>
      <c r="N35" s="18">
        <f t="shared" si="10"/>
        <v>-2982579.6029146076</v>
      </c>
      <c r="O35" s="18">
        <f t="shared" si="10"/>
        <v>-2791419.8028674186</v>
      </c>
      <c r="P35" s="18">
        <f t="shared" si="10"/>
        <v>-2587991.0347152413</v>
      </c>
      <c r="Q35" s="18">
        <f t="shared" si="10"/>
        <v>-2371458.7180254818</v>
      </c>
      <c r="R35" s="18">
        <f t="shared" si="10"/>
        <v>-2140933.7550503551</v>
      </c>
      <c r="S35" s="18">
        <f t="shared" si="10"/>
        <v>-1895469.0966288866</v>
      </c>
    </row>
    <row r="37" spans="1:19" x14ac:dyDescent="0.25">
      <c r="A37" t="s">
        <v>83</v>
      </c>
      <c r="C37" s="18">
        <f>C33-C35</f>
        <v>-6702813.6234427122</v>
      </c>
      <c r="D37" s="18">
        <f t="shared" ref="D37:S37" si="11">D33-D35</f>
        <v>-6554938.2992495298</v>
      </c>
      <c r="E37" s="18">
        <f t="shared" si="11"/>
        <v>-6398238.3240385111</v>
      </c>
      <c r="F37" s="18">
        <f t="shared" si="11"/>
        <v>-6232095.8255248461</v>
      </c>
      <c r="G37" s="18">
        <f t="shared" si="11"/>
        <v>-6055851.4107044134</v>
      </c>
      <c r="H37" s="18">
        <f t="shared" si="11"/>
        <v>-5868801.5052274168</v>
      </c>
      <c r="I37" s="18">
        <f t="shared" si="11"/>
        <v>-5670195.5273343176</v>
      </c>
      <c r="J37" s="18">
        <f t="shared" si="11"/>
        <v>-5459232.8862394989</v>
      </c>
      <c r="K37" s="18">
        <f t="shared" si="11"/>
        <v>-5235059.7942349873</v>
      </c>
      <c r="L37" s="18">
        <f t="shared" si="11"/>
        <v>-4996765.8811372695</v>
      </c>
      <c r="M37" s="18">
        <f t="shared" si="11"/>
        <v>-4743380.5990108345</v>
      </c>
      <c r="N37" s="18">
        <f t="shared" si="11"/>
        <v>-4473869.4043719117</v>
      </c>
      <c r="O37" s="18">
        <f t="shared" si="11"/>
        <v>-4187129.7043011277</v>
      </c>
      <c r="P37" s="18">
        <f t="shared" si="11"/>
        <v>-3881986.5520728617</v>
      </c>
      <c r="Q37" s="18">
        <f t="shared" si="11"/>
        <v>-3557188.0770382225</v>
      </c>
      <c r="R37" s="18">
        <f t="shared" si="11"/>
        <v>-3211400.6325755329</v>
      </c>
      <c r="S37" s="18">
        <f t="shared" si="11"/>
        <v>-2843203.6449433295</v>
      </c>
    </row>
    <row r="39" spans="1:19" x14ac:dyDescent="0.25">
      <c r="A39" t="s">
        <v>84</v>
      </c>
      <c r="C39" s="18">
        <f>C23</f>
        <v>2941176</v>
      </c>
      <c r="D39" s="18">
        <f t="shared" ref="D39:S39" si="12">D23</f>
        <v>2941176</v>
      </c>
      <c r="E39" s="18">
        <f t="shared" si="12"/>
        <v>2941176</v>
      </c>
      <c r="F39" s="18">
        <f t="shared" si="12"/>
        <v>2941176</v>
      </c>
      <c r="G39" s="18">
        <f t="shared" si="12"/>
        <v>2941176</v>
      </c>
      <c r="H39" s="18">
        <f t="shared" si="12"/>
        <v>2941176</v>
      </c>
      <c r="I39" s="18">
        <f t="shared" si="12"/>
        <v>2941176</v>
      </c>
      <c r="J39" s="18">
        <f t="shared" si="12"/>
        <v>2941176</v>
      </c>
      <c r="K39" s="18">
        <f t="shared" si="12"/>
        <v>2941176</v>
      </c>
      <c r="L39" s="18">
        <f t="shared" si="12"/>
        <v>2941176</v>
      </c>
      <c r="M39" s="18">
        <f t="shared" si="12"/>
        <v>2941176</v>
      </c>
      <c r="N39" s="18">
        <f t="shared" si="12"/>
        <v>2941176</v>
      </c>
      <c r="O39" s="18">
        <f t="shared" si="12"/>
        <v>2941176</v>
      </c>
      <c r="P39" s="18">
        <f t="shared" si="12"/>
        <v>2941176</v>
      </c>
      <c r="Q39" s="18">
        <f t="shared" si="12"/>
        <v>2941176</v>
      </c>
      <c r="R39" s="18">
        <f t="shared" si="12"/>
        <v>2941176</v>
      </c>
      <c r="S39" s="18">
        <f t="shared" si="12"/>
        <v>2941176</v>
      </c>
    </row>
    <row r="41" spans="1:19" x14ac:dyDescent="0.25">
      <c r="A41" t="s">
        <v>85</v>
      </c>
    </row>
    <row r="42" spans="1:19" x14ac:dyDescent="0.25">
      <c r="A42" t="s">
        <v>86</v>
      </c>
      <c r="B42" s="18">
        <f>B7</f>
        <v>-173303444.87856871</v>
      </c>
      <c r="C42" s="18">
        <f>C37+C39</f>
        <v>-3761637.6234427122</v>
      </c>
      <c r="D42" s="18">
        <f t="shared" ref="D42:S42" si="13">D37+D39</f>
        <v>-3613762.2992495298</v>
      </c>
      <c r="E42" s="18">
        <f t="shared" si="13"/>
        <v>-3457062.3240385111</v>
      </c>
      <c r="F42" s="18">
        <f t="shared" si="13"/>
        <v>-3290919.8255248461</v>
      </c>
      <c r="G42" s="18">
        <f t="shared" si="13"/>
        <v>-3114675.4107044134</v>
      </c>
      <c r="H42" s="18">
        <f t="shared" si="13"/>
        <v>-2927625.5052274168</v>
      </c>
      <c r="I42" s="18">
        <f t="shared" si="13"/>
        <v>-2729019.5273343176</v>
      </c>
      <c r="J42" s="18">
        <f t="shared" si="13"/>
        <v>-2518056.8862394989</v>
      </c>
      <c r="K42" s="18">
        <f t="shared" si="13"/>
        <v>-2293883.7942349873</v>
      </c>
      <c r="L42" s="18">
        <f t="shared" si="13"/>
        <v>-2055589.8811372695</v>
      </c>
      <c r="M42" s="18">
        <f t="shared" si="13"/>
        <v>-1802204.5990108345</v>
      </c>
      <c r="N42" s="18">
        <f t="shared" si="13"/>
        <v>-1532693.4043719117</v>
      </c>
      <c r="O42" s="18">
        <f t="shared" si="13"/>
        <v>-1245953.7043011277</v>
      </c>
      <c r="P42" s="18">
        <f t="shared" si="13"/>
        <v>-940810.5520728617</v>
      </c>
      <c r="Q42" s="18">
        <f t="shared" si="13"/>
        <v>-616012.07703822246</v>
      </c>
      <c r="R42" s="18">
        <f t="shared" si="13"/>
        <v>-270224.63257553289</v>
      </c>
      <c r="S42" s="18">
        <f t="shared" si="13"/>
        <v>97972.355056670494</v>
      </c>
    </row>
    <row r="44" spans="1:19" x14ac:dyDescent="0.25">
      <c r="A44" t="s">
        <v>87</v>
      </c>
      <c r="C44" s="18">
        <f>C42</f>
        <v>-3761637.6234427122</v>
      </c>
      <c r="D44" s="18">
        <f t="shared" ref="D44:M44" si="14">C44+D42</f>
        <v>-7375399.9226922421</v>
      </c>
      <c r="E44" s="18">
        <f t="shared" si="14"/>
        <v>-10832462.246730752</v>
      </c>
      <c r="F44" s="18">
        <f t="shared" si="14"/>
        <v>-14123382.072255598</v>
      </c>
      <c r="G44" s="18">
        <f t="shared" si="14"/>
        <v>-17238057.482960012</v>
      </c>
      <c r="H44" s="18">
        <f t="shared" si="14"/>
        <v>-20165682.988187429</v>
      </c>
      <c r="I44" s="18">
        <f t="shared" si="14"/>
        <v>-22894702.515521746</v>
      </c>
      <c r="J44" s="18">
        <f t="shared" si="14"/>
        <v>-25412759.401761245</v>
      </c>
      <c r="K44" s="18">
        <f t="shared" si="14"/>
        <v>-27706643.195996232</v>
      </c>
      <c r="L44" s="18">
        <f t="shared" si="14"/>
        <v>-29762233.077133503</v>
      </c>
      <c r="M44" s="18">
        <f t="shared" si="14"/>
        <v>-31564437.676144339</v>
      </c>
      <c r="N44" s="18"/>
      <c r="O44" s="18"/>
      <c r="P44" s="18"/>
      <c r="Q44" s="18"/>
      <c r="R44" s="18"/>
    </row>
    <row r="45" spans="1:19" x14ac:dyDescent="0.25">
      <c r="F45" t="s">
        <v>88</v>
      </c>
    </row>
    <row r="46" spans="1:19" x14ac:dyDescent="0.25">
      <c r="A46" t="s">
        <v>89</v>
      </c>
      <c r="B46" s="23">
        <f>NPV(B49,B42:S42)</f>
        <v>-181918208.33709314</v>
      </c>
      <c r="C46" s="12"/>
    </row>
    <row r="47" spans="1:19" x14ac:dyDescent="0.25">
      <c r="A47" t="s">
        <v>90</v>
      </c>
      <c r="B47" s="14" t="e">
        <f>IRR(B42:S42,0.11)</f>
        <v>#NUM!</v>
      </c>
    </row>
    <row r="48" spans="1:19" x14ac:dyDescent="0.25">
      <c r="B48" s="14"/>
    </row>
    <row r="49" spans="1:2" x14ac:dyDescent="0.25">
      <c r="A49" t="s">
        <v>91</v>
      </c>
      <c r="B49" s="14">
        <v>0.08</v>
      </c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selection activeCell="E4" activeCellId="1" sqref="C15 C1:E4"/>
    </sheetView>
  </sheetViews>
  <sheetFormatPr defaultRowHeight="15" x14ac:dyDescent="0.25"/>
  <cols>
    <col min="2" max="2" width="12.28515625" customWidth="1"/>
    <col min="3" max="4" width="13.140625" customWidth="1"/>
    <col min="5" max="5" width="14.140625" customWidth="1"/>
    <col min="6" max="6" width="10.140625" customWidth="1"/>
    <col min="7" max="8" width="11.7109375" customWidth="1"/>
    <col min="9" max="9" width="11.85546875" customWidth="1"/>
    <col min="10" max="10" width="11.7109375" customWidth="1"/>
    <col min="11" max="11" width="11.140625" customWidth="1"/>
    <col min="12" max="12" width="11.5703125" customWidth="1"/>
    <col min="13" max="13" width="10.1406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19" x14ac:dyDescent="0.25">
      <c r="C1" s="17" t="s">
        <v>63</v>
      </c>
    </row>
    <row r="2" spans="1:19" x14ac:dyDescent="0.25">
      <c r="C2" s="17"/>
    </row>
    <row r="3" spans="1:19" x14ac:dyDescent="0.25">
      <c r="A3" t="s">
        <v>64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19" x14ac:dyDescent="0.25">
      <c r="A5" s="17" t="s">
        <v>65</v>
      </c>
      <c r="B5" s="18">
        <v>-50000000</v>
      </c>
      <c r="C5" s="18"/>
    </row>
    <row r="7" spans="1:19" x14ac:dyDescent="0.25">
      <c r="A7" s="19" t="s">
        <v>66</v>
      </c>
    </row>
    <row r="9" spans="1:19" x14ac:dyDescent="0.25">
      <c r="A9" t="s">
        <v>67</v>
      </c>
    </row>
    <row r="10" spans="1:19" x14ac:dyDescent="0.25">
      <c r="A10" t="s">
        <v>68</v>
      </c>
      <c r="C10" s="20">
        <v>50000000</v>
      </c>
      <c r="D10" s="20">
        <f>C10*1.02</f>
        <v>51000000</v>
      </c>
      <c r="E10" s="20">
        <f t="shared" ref="E10:S10" si="0">D10*1.02</f>
        <v>52020000</v>
      </c>
      <c r="F10" s="20">
        <f t="shared" si="0"/>
        <v>53060400</v>
      </c>
      <c r="G10" s="20">
        <f t="shared" si="0"/>
        <v>54121608</v>
      </c>
      <c r="H10" s="20">
        <f t="shared" si="0"/>
        <v>55204040.160000004</v>
      </c>
      <c r="I10" s="20">
        <f t="shared" si="0"/>
        <v>56308120.963200003</v>
      </c>
      <c r="J10" s="20">
        <f t="shared" si="0"/>
        <v>57434283.382464007</v>
      </c>
      <c r="K10" s="20">
        <f t="shared" si="0"/>
        <v>58582969.050113291</v>
      </c>
      <c r="L10" s="20">
        <f t="shared" si="0"/>
        <v>59754628.43111556</v>
      </c>
      <c r="M10" s="20">
        <f t="shared" si="0"/>
        <v>60949720.999737874</v>
      </c>
      <c r="N10" s="20">
        <f t="shared" si="0"/>
        <v>62168715.41973263</v>
      </c>
      <c r="O10" s="20">
        <f t="shared" si="0"/>
        <v>63412089.728127286</v>
      </c>
      <c r="P10" s="20">
        <f t="shared" si="0"/>
        <v>64680331.522689834</v>
      </c>
      <c r="Q10" s="20">
        <f t="shared" si="0"/>
        <v>65973938.153143629</v>
      </c>
      <c r="R10" s="20">
        <f t="shared" si="0"/>
        <v>67293416.916206509</v>
      </c>
      <c r="S10" s="20">
        <f t="shared" si="0"/>
        <v>68639285.254530638</v>
      </c>
    </row>
    <row r="12" spans="1:19" x14ac:dyDescent="0.25">
      <c r="A12" s="19" t="s">
        <v>69</v>
      </c>
    </row>
    <row r="14" spans="1:19" x14ac:dyDescent="0.25">
      <c r="A14" s="21" t="s">
        <v>70</v>
      </c>
    </row>
    <row r="15" spans="1:19" x14ac:dyDescent="0.25">
      <c r="A15" t="s">
        <v>71</v>
      </c>
      <c r="C15" s="22">
        <f>IPMT(0.06,C3,17,$B$7,0)</f>
        <v>0</v>
      </c>
      <c r="D15" s="22">
        <f t="shared" ref="D15:S15" si="1">IPMT(0.06,D3,17,$B$7,0)</f>
        <v>0</v>
      </c>
      <c r="E15" s="22">
        <f t="shared" si="1"/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22">
        <f t="shared" si="1"/>
        <v>0</v>
      </c>
      <c r="P15" s="22">
        <f t="shared" si="1"/>
        <v>0</v>
      </c>
      <c r="Q15" s="22">
        <f t="shared" si="1"/>
        <v>0</v>
      </c>
      <c r="R15" s="22">
        <f t="shared" si="1"/>
        <v>0</v>
      </c>
      <c r="S15" s="22">
        <f t="shared" si="1"/>
        <v>0</v>
      </c>
    </row>
    <row r="16" spans="1:19" x14ac:dyDescent="0.25">
      <c r="A16" t="s">
        <v>72</v>
      </c>
      <c r="C16" s="18">
        <v>13432806</v>
      </c>
      <c r="D16" s="18">
        <f>C16*1.03</f>
        <v>13835790.18</v>
      </c>
      <c r="E16" s="18">
        <f t="shared" ref="E16:S16" si="2">D16*1.03</f>
        <v>14250863.885400001</v>
      </c>
      <c r="F16" s="18">
        <f t="shared" si="2"/>
        <v>14678389.801962001</v>
      </c>
      <c r="G16" s="18">
        <f t="shared" si="2"/>
        <v>15118741.496020861</v>
      </c>
      <c r="H16" s="18">
        <f t="shared" si="2"/>
        <v>15572303.740901487</v>
      </c>
      <c r="I16" s="18">
        <f t="shared" si="2"/>
        <v>16039472.853128532</v>
      </c>
      <c r="J16" s="18">
        <f t="shared" si="2"/>
        <v>16520657.038722388</v>
      </c>
      <c r="K16" s="18">
        <f t="shared" si="2"/>
        <v>17016276.749884062</v>
      </c>
      <c r="L16" s="18">
        <f t="shared" si="2"/>
        <v>17526765.052380584</v>
      </c>
      <c r="M16" s="18">
        <f t="shared" si="2"/>
        <v>18052568.003952004</v>
      </c>
      <c r="N16" s="18">
        <f t="shared" si="2"/>
        <v>18594145.044070564</v>
      </c>
      <c r="O16" s="18">
        <f t="shared" si="2"/>
        <v>19151969.395392682</v>
      </c>
      <c r="P16" s="18">
        <f t="shared" si="2"/>
        <v>19726528.477254465</v>
      </c>
      <c r="Q16" s="18">
        <f t="shared" si="2"/>
        <v>20318324.331572101</v>
      </c>
      <c r="R16" s="18">
        <f t="shared" si="2"/>
        <v>20927874.061519265</v>
      </c>
      <c r="S16" s="18">
        <f t="shared" si="2"/>
        <v>21555710.283364844</v>
      </c>
    </row>
    <row r="17" spans="1:19" x14ac:dyDescent="0.25">
      <c r="A17" t="s">
        <v>73</v>
      </c>
      <c r="C17" s="18">
        <v>116000</v>
      </c>
      <c r="D17" s="18">
        <f>1.02*C17</f>
        <v>118320</v>
      </c>
      <c r="E17" s="18">
        <f t="shared" ref="E17:S17" si="3">1.02*D17</f>
        <v>120686.40000000001</v>
      </c>
      <c r="F17" s="18">
        <f t="shared" si="3"/>
        <v>123100.12800000001</v>
      </c>
      <c r="G17" s="18">
        <f t="shared" si="3"/>
        <v>125562.13056000002</v>
      </c>
      <c r="H17" s="18">
        <f t="shared" si="3"/>
        <v>128073.37317120002</v>
      </c>
      <c r="I17" s="18">
        <f t="shared" si="3"/>
        <v>130634.84063462402</v>
      </c>
      <c r="J17" s="18">
        <f t="shared" si="3"/>
        <v>133247.53744731651</v>
      </c>
      <c r="K17" s="18">
        <f t="shared" si="3"/>
        <v>135912.48819626286</v>
      </c>
      <c r="L17" s="18">
        <f t="shared" si="3"/>
        <v>138630.73796018813</v>
      </c>
      <c r="M17" s="18">
        <f t="shared" si="3"/>
        <v>141403.3527193919</v>
      </c>
      <c r="N17" s="18">
        <f t="shared" si="3"/>
        <v>144231.41977377975</v>
      </c>
      <c r="O17" s="18">
        <f t="shared" si="3"/>
        <v>147116.04816925534</v>
      </c>
      <c r="P17" s="18">
        <f t="shared" si="3"/>
        <v>150058.36913264045</v>
      </c>
      <c r="Q17" s="18">
        <f t="shared" si="3"/>
        <v>153059.53651529326</v>
      </c>
      <c r="R17" s="18">
        <f t="shared" si="3"/>
        <v>156120.72724559912</v>
      </c>
      <c r="S17" s="18">
        <f t="shared" si="3"/>
        <v>159243.14179051112</v>
      </c>
    </row>
    <row r="18" spans="1:19" x14ac:dyDescent="0.25">
      <c r="A18" t="s">
        <v>74</v>
      </c>
      <c r="C18" s="18">
        <v>300000</v>
      </c>
      <c r="D18" s="18">
        <f t="shared" ref="D18:S19" si="4">1.02*C18</f>
        <v>306000</v>
      </c>
      <c r="E18" s="18">
        <f t="shared" si="4"/>
        <v>312120</v>
      </c>
      <c r="F18" s="18">
        <f t="shared" si="4"/>
        <v>318362.40000000002</v>
      </c>
      <c r="G18" s="18">
        <f t="shared" si="4"/>
        <v>324729.64800000004</v>
      </c>
      <c r="H18" s="18">
        <f t="shared" si="4"/>
        <v>331224.24096000002</v>
      </c>
      <c r="I18" s="18">
        <f t="shared" si="4"/>
        <v>337848.72577920003</v>
      </c>
      <c r="J18" s="18">
        <f t="shared" si="4"/>
        <v>344605.70029478404</v>
      </c>
      <c r="K18" s="18">
        <f t="shared" si="4"/>
        <v>351497.81430067972</v>
      </c>
      <c r="L18" s="18">
        <f t="shared" si="4"/>
        <v>358527.77058669331</v>
      </c>
      <c r="M18" s="18">
        <f t="shared" si="4"/>
        <v>365698.32599842717</v>
      </c>
      <c r="N18" s="18">
        <f t="shared" si="4"/>
        <v>373012.2925183957</v>
      </c>
      <c r="O18" s="18">
        <f t="shared" si="4"/>
        <v>380472.53836876363</v>
      </c>
      <c r="P18" s="18">
        <f t="shared" si="4"/>
        <v>388081.98913613893</v>
      </c>
      <c r="Q18" s="18">
        <f t="shared" si="4"/>
        <v>395843.62891886174</v>
      </c>
      <c r="R18" s="18">
        <f t="shared" si="4"/>
        <v>403760.50149723899</v>
      </c>
      <c r="S18" s="18">
        <f t="shared" si="4"/>
        <v>411835.71152718377</v>
      </c>
    </row>
    <row r="19" spans="1:19" x14ac:dyDescent="0.25">
      <c r="A19" t="s">
        <v>75</v>
      </c>
      <c r="C19" s="18">
        <v>60000</v>
      </c>
      <c r="D19" s="18">
        <f t="shared" si="4"/>
        <v>61200</v>
      </c>
      <c r="E19" s="18">
        <f t="shared" si="4"/>
        <v>62424</v>
      </c>
      <c r="F19" s="18">
        <f t="shared" si="4"/>
        <v>63672.480000000003</v>
      </c>
      <c r="G19" s="18">
        <f t="shared" si="4"/>
        <v>64945.929600000003</v>
      </c>
      <c r="H19" s="18">
        <f t="shared" si="4"/>
        <v>66244.848192000005</v>
      </c>
      <c r="I19" s="18">
        <f t="shared" si="4"/>
        <v>67569.745155840006</v>
      </c>
      <c r="J19" s="18">
        <f t="shared" si="4"/>
        <v>68921.140058956807</v>
      </c>
      <c r="K19" s="18">
        <f t="shared" si="4"/>
        <v>70299.562860135949</v>
      </c>
      <c r="L19" s="18">
        <f t="shared" si="4"/>
        <v>71705.554117338674</v>
      </c>
      <c r="M19" s="18">
        <f t="shared" si="4"/>
        <v>73139.665199685449</v>
      </c>
      <c r="N19" s="18">
        <f t="shared" si="4"/>
        <v>74602.458503679154</v>
      </c>
      <c r="O19" s="18">
        <f t="shared" si="4"/>
        <v>76094.507673752742</v>
      </c>
      <c r="P19" s="18">
        <f t="shared" si="4"/>
        <v>77616.397827227804</v>
      </c>
      <c r="Q19" s="18">
        <f t="shared" si="4"/>
        <v>79168.725783772359</v>
      </c>
      <c r="R19" s="18">
        <f t="shared" si="4"/>
        <v>80752.100299447804</v>
      </c>
      <c r="S19" s="18">
        <f t="shared" si="4"/>
        <v>82367.142305436762</v>
      </c>
    </row>
    <row r="20" spans="1:19" x14ac:dyDescent="0.25"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25">
      <c r="A21" t="s">
        <v>76</v>
      </c>
      <c r="C21" s="18">
        <v>2941176</v>
      </c>
      <c r="D21" s="18">
        <v>2941176</v>
      </c>
      <c r="E21" s="18">
        <v>2941176</v>
      </c>
      <c r="F21" s="18">
        <v>2941176</v>
      </c>
      <c r="G21" s="18">
        <v>2941176</v>
      </c>
      <c r="H21" s="18">
        <v>2941176</v>
      </c>
      <c r="I21" s="18">
        <v>2941176</v>
      </c>
      <c r="J21" s="18">
        <v>2941176</v>
      </c>
      <c r="K21" s="18">
        <v>2941176</v>
      </c>
      <c r="L21" s="18">
        <v>2941176</v>
      </c>
      <c r="M21" s="18">
        <v>2941176</v>
      </c>
      <c r="N21" s="18">
        <v>2941176</v>
      </c>
      <c r="O21" s="18">
        <v>2941176</v>
      </c>
      <c r="P21" s="18">
        <v>2941176</v>
      </c>
      <c r="Q21" s="18">
        <v>2941176</v>
      </c>
      <c r="R21" s="18">
        <v>2941176</v>
      </c>
      <c r="S21" s="18">
        <v>2941176</v>
      </c>
    </row>
    <row r="22" spans="1:19" x14ac:dyDescent="0.25">
      <c r="A22" t="s">
        <v>77</v>
      </c>
      <c r="C22" s="18">
        <v>3113600</v>
      </c>
      <c r="D22" s="18">
        <f>1.03*C22</f>
        <v>3207008</v>
      </c>
      <c r="E22" s="18">
        <f t="shared" ref="E22:S22" si="5">1.03*D22</f>
        <v>3303218.24</v>
      </c>
      <c r="F22" s="18">
        <f t="shared" si="5"/>
        <v>3402314.7872000001</v>
      </c>
      <c r="G22" s="18">
        <f t="shared" si="5"/>
        <v>3504384.2308160001</v>
      </c>
      <c r="H22" s="18">
        <f t="shared" si="5"/>
        <v>3609515.7577404804</v>
      </c>
      <c r="I22" s="18">
        <f t="shared" si="5"/>
        <v>3717801.2304726951</v>
      </c>
      <c r="J22" s="18">
        <f t="shared" si="5"/>
        <v>3829335.267386876</v>
      </c>
      <c r="K22" s="18">
        <f t="shared" si="5"/>
        <v>3944215.3254084825</v>
      </c>
      <c r="L22" s="18">
        <f t="shared" si="5"/>
        <v>4062541.7851707372</v>
      </c>
      <c r="M22" s="18">
        <f t="shared" si="5"/>
        <v>4184418.0387258595</v>
      </c>
      <c r="N22" s="18">
        <f t="shared" si="5"/>
        <v>4309950.5798876351</v>
      </c>
      <c r="O22" s="18">
        <f t="shared" si="5"/>
        <v>4439249.0972842639</v>
      </c>
      <c r="P22" s="18">
        <f t="shared" si="5"/>
        <v>4572426.5702027921</v>
      </c>
      <c r="Q22" s="18">
        <f t="shared" si="5"/>
        <v>4709599.3673088755</v>
      </c>
      <c r="R22" s="18">
        <f t="shared" si="5"/>
        <v>4850887.3483281415</v>
      </c>
      <c r="S22" s="18">
        <f t="shared" si="5"/>
        <v>4996413.9687779862</v>
      </c>
    </row>
    <row r="23" spans="1:19" x14ac:dyDescent="0.25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25">
      <c r="A24" t="s">
        <v>78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5">
      <c r="A25" t="s">
        <v>79</v>
      </c>
      <c r="C25" s="18">
        <f>-0.03*B5</f>
        <v>1500000</v>
      </c>
      <c r="D25" s="18">
        <f>1.02*C25</f>
        <v>1530000</v>
      </c>
      <c r="E25" s="18">
        <f t="shared" ref="E25:S25" si="6">1.02*D25</f>
        <v>1560600</v>
      </c>
      <c r="F25" s="18">
        <f t="shared" si="6"/>
        <v>1591812</v>
      </c>
      <c r="G25" s="18">
        <f t="shared" si="6"/>
        <v>1623648.24</v>
      </c>
      <c r="H25" s="18">
        <f t="shared" si="6"/>
        <v>1656121.2047999999</v>
      </c>
      <c r="I25" s="18">
        <f t="shared" si="6"/>
        <v>1689243.6288959999</v>
      </c>
      <c r="J25" s="18">
        <f t="shared" si="6"/>
        <v>1723028.50147392</v>
      </c>
      <c r="K25" s="18">
        <f t="shared" si="6"/>
        <v>1757489.0715033985</v>
      </c>
      <c r="L25" s="18">
        <f t="shared" si="6"/>
        <v>1792638.8529334664</v>
      </c>
      <c r="M25" s="18">
        <f t="shared" si="6"/>
        <v>1828491.6299921358</v>
      </c>
      <c r="N25" s="18">
        <f t="shared" si="6"/>
        <v>1865061.4625919785</v>
      </c>
      <c r="O25" s="18">
        <f t="shared" si="6"/>
        <v>1902362.6918438182</v>
      </c>
      <c r="P25" s="18">
        <f t="shared" si="6"/>
        <v>1940409.9456806947</v>
      </c>
      <c r="Q25" s="18">
        <f t="shared" si="6"/>
        <v>1979218.1445943087</v>
      </c>
      <c r="R25" s="18">
        <f t="shared" si="6"/>
        <v>2018802.5074861948</v>
      </c>
      <c r="S25" s="18">
        <f t="shared" si="6"/>
        <v>2059178.5576359187</v>
      </c>
    </row>
    <row r="26" spans="1:19" x14ac:dyDescent="0.25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t="s">
        <v>0</v>
      </c>
      <c r="C27" s="18">
        <v>10000000</v>
      </c>
      <c r="D27" s="18">
        <f>1.02*C27</f>
        <v>10200000</v>
      </c>
      <c r="E27" s="18">
        <f t="shared" ref="E27:S27" si="7">1.02*D27</f>
        <v>10404000</v>
      </c>
      <c r="F27" s="18">
        <f t="shared" si="7"/>
        <v>10612080</v>
      </c>
      <c r="G27" s="18">
        <f t="shared" si="7"/>
        <v>10824321.6</v>
      </c>
      <c r="H27" s="18">
        <f t="shared" si="7"/>
        <v>11040808.032</v>
      </c>
      <c r="I27" s="18">
        <f t="shared" si="7"/>
        <v>11261624.192639999</v>
      </c>
      <c r="J27" s="18">
        <f t="shared" si="7"/>
        <v>11486856.676492799</v>
      </c>
      <c r="K27" s="18">
        <f t="shared" si="7"/>
        <v>11716593.810022656</v>
      </c>
      <c r="L27" s="18">
        <f t="shared" si="7"/>
        <v>11950925.686223108</v>
      </c>
      <c r="M27" s="18">
        <f t="shared" si="7"/>
        <v>12189944.199947571</v>
      </c>
      <c r="N27" s="18">
        <f t="shared" si="7"/>
        <v>12433743.083946522</v>
      </c>
      <c r="O27" s="18">
        <f t="shared" si="7"/>
        <v>12682417.945625452</v>
      </c>
      <c r="P27" s="18">
        <f t="shared" si="7"/>
        <v>12936066.304537961</v>
      </c>
      <c r="Q27" s="18">
        <f t="shared" si="7"/>
        <v>13194787.63062872</v>
      </c>
      <c r="R27" s="18">
        <f t="shared" si="7"/>
        <v>13458683.383241294</v>
      </c>
      <c r="S27" s="18">
        <f t="shared" si="7"/>
        <v>13727857.05090612</v>
      </c>
    </row>
    <row r="29" spans="1:19" x14ac:dyDescent="0.25">
      <c r="A29" s="21" t="s">
        <v>80</v>
      </c>
      <c r="C29" s="20">
        <f>SUM(C15:C28)</f>
        <v>31463582</v>
      </c>
      <c r="D29" s="20">
        <f t="shared" ref="D29:S29" si="8">SUM(D15:D28)</f>
        <v>32199494.18</v>
      </c>
      <c r="E29" s="20">
        <f t="shared" si="8"/>
        <v>32955088.525400005</v>
      </c>
      <c r="F29" s="20">
        <f t="shared" si="8"/>
        <v>33730907.597162008</v>
      </c>
      <c r="G29" s="20">
        <f t="shared" si="8"/>
        <v>34527509.274996854</v>
      </c>
      <c r="H29" s="20">
        <f t="shared" si="8"/>
        <v>35345467.197765164</v>
      </c>
      <c r="I29" s="20">
        <f t="shared" si="8"/>
        <v>36185371.216706887</v>
      </c>
      <c r="J29" s="20">
        <f t="shared" si="8"/>
        <v>37047827.861877039</v>
      </c>
      <c r="K29" s="20">
        <f t="shared" si="8"/>
        <v>37933460.822175667</v>
      </c>
      <c r="L29" s="20">
        <f t="shared" si="8"/>
        <v>38842911.439372115</v>
      </c>
      <c r="M29" s="20">
        <f t="shared" si="8"/>
        <v>39776839.216535076</v>
      </c>
      <c r="N29" s="20">
        <f t="shared" si="8"/>
        <v>40735922.34129256</v>
      </c>
      <c r="O29" s="20">
        <f t="shared" si="8"/>
        <v>41720858.224357992</v>
      </c>
      <c r="P29" s="20">
        <f t="shared" si="8"/>
        <v>42732364.053771921</v>
      </c>
      <c r="Q29" s="20">
        <f t="shared" si="8"/>
        <v>43771177.365321934</v>
      </c>
      <c r="R29" s="20">
        <f t="shared" si="8"/>
        <v>44838056.629617184</v>
      </c>
      <c r="S29" s="20">
        <f t="shared" si="8"/>
        <v>45933781.856308006</v>
      </c>
    </row>
    <row r="31" spans="1:19" x14ac:dyDescent="0.25">
      <c r="A31" t="s">
        <v>81</v>
      </c>
      <c r="C31" s="18">
        <f>C10-C29</f>
        <v>18536418</v>
      </c>
      <c r="D31" s="18">
        <f t="shared" ref="D31:S31" si="9">D10-D29</f>
        <v>18800505.82</v>
      </c>
      <c r="E31" s="18">
        <f t="shared" si="9"/>
        <v>19064911.474599995</v>
      </c>
      <c r="F31" s="18">
        <f t="shared" si="9"/>
        <v>19329492.402837992</v>
      </c>
      <c r="G31" s="18">
        <f t="shared" si="9"/>
        <v>19594098.725003146</v>
      </c>
      <c r="H31" s="18">
        <f t="shared" si="9"/>
        <v>19858572.96223484</v>
      </c>
      <c r="I31" s="18">
        <f t="shared" si="9"/>
        <v>20122749.746493116</v>
      </c>
      <c r="J31" s="18">
        <f t="shared" si="9"/>
        <v>20386455.520586967</v>
      </c>
      <c r="K31" s="18">
        <f t="shared" si="9"/>
        <v>20649508.227937624</v>
      </c>
      <c r="L31" s="18">
        <f t="shared" si="9"/>
        <v>20911716.991743445</v>
      </c>
      <c r="M31" s="18">
        <f t="shared" si="9"/>
        <v>21172881.783202797</v>
      </c>
      <c r="N31" s="18">
        <f t="shared" si="9"/>
        <v>21432793.07844007</v>
      </c>
      <c r="O31" s="18">
        <f t="shared" si="9"/>
        <v>21691231.503769293</v>
      </c>
      <c r="P31" s="18">
        <f t="shared" si="9"/>
        <v>21947967.468917914</v>
      </c>
      <c r="Q31" s="18">
        <f t="shared" si="9"/>
        <v>22202760.787821695</v>
      </c>
      <c r="R31" s="18">
        <f t="shared" si="9"/>
        <v>22455360.286589324</v>
      </c>
      <c r="S31" s="18">
        <f t="shared" si="9"/>
        <v>22705503.398222633</v>
      </c>
    </row>
    <row r="33" spans="1:19" x14ac:dyDescent="0.25">
      <c r="A33" t="s">
        <v>82</v>
      </c>
      <c r="C33" s="18">
        <f>C31*0.4</f>
        <v>7414567.2000000002</v>
      </c>
      <c r="D33" s="18">
        <f t="shared" ref="D33:S33" si="10">D31*0.4</f>
        <v>7520202.3280000007</v>
      </c>
      <c r="E33" s="18">
        <f t="shared" si="10"/>
        <v>7625964.5898399986</v>
      </c>
      <c r="F33" s="18">
        <f t="shared" si="10"/>
        <v>7731796.9611351974</v>
      </c>
      <c r="G33" s="18">
        <f t="shared" si="10"/>
        <v>7837639.4900012584</v>
      </c>
      <c r="H33" s="18">
        <f t="shared" si="10"/>
        <v>7943429.1848939359</v>
      </c>
      <c r="I33" s="18">
        <f t="shared" si="10"/>
        <v>8049099.898597247</v>
      </c>
      <c r="J33" s="18">
        <f t="shared" si="10"/>
        <v>8154582.208234787</v>
      </c>
      <c r="K33" s="18">
        <f t="shared" si="10"/>
        <v>8259803.2911750497</v>
      </c>
      <c r="L33" s="18">
        <f t="shared" si="10"/>
        <v>8364686.7966973782</v>
      </c>
      <c r="M33" s="18">
        <f t="shared" si="10"/>
        <v>8469152.7132811192</v>
      </c>
      <c r="N33" s="18">
        <f t="shared" si="10"/>
        <v>8573117.2313760277</v>
      </c>
      <c r="O33" s="18">
        <f t="shared" si="10"/>
        <v>8676492.6015077177</v>
      </c>
      <c r="P33" s="18">
        <f t="shared" si="10"/>
        <v>8779186.9875671659</v>
      </c>
      <c r="Q33" s="18">
        <f t="shared" si="10"/>
        <v>8881104.3151286785</v>
      </c>
      <c r="R33" s="18">
        <f t="shared" si="10"/>
        <v>8982144.1146357302</v>
      </c>
      <c r="S33" s="18">
        <f t="shared" si="10"/>
        <v>9082201.3592890538</v>
      </c>
    </row>
    <row r="35" spans="1:19" x14ac:dyDescent="0.25">
      <c r="A35" t="s">
        <v>83</v>
      </c>
      <c r="C35" s="18">
        <f>C31-C33</f>
        <v>11121850.800000001</v>
      </c>
      <c r="D35" s="18">
        <f t="shared" ref="D35:S35" si="11">D31-D33</f>
        <v>11280303.491999999</v>
      </c>
      <c r="E35" s="18">
        <f t="shared" si="11"/>
        <v>11438946.884759996</v>
      </c>
      <c r="F35" s="18">
        <f t="shared" si="11"/>
        <v>11597695.441702794</v>
      </c>
      <c r="G35" s="18">
        <f t="shared" si="11"/>
        <v>11756459.235001888</v>
      </c>
      <c r="H35" s="18">
        <f t="shared" si="11"/>
        <v>11915143.777340904</v>
      </c>
      <c r="I35" s="18">
        <f t="shared" si="11"/>
        <v>12073649.847895868</v>
      </c>
      <c r="J35" s="18">
        <f t="shared" si="11"/>
        <v>12231873.31235218</v>
      </c>
      <c r="K35" s="18">
        <f t="shared" si="11"/>
        <v>12389704.936762575</v>
      </c>
      <c r="L35" s="18">
        <f t="shared" si="11"/>
        <v>12547030.195046067</v>
      </c>
      <c r="M35" s="18">
        <f t="shared" si="11"/>
        <v>12703729.069921678</v>
      </c>
      <c r="N35" s="18">
        <f t="shared" si="11"/>
        <v>12859675.847064042</v>
      </c>
      <c r="O35" s="18">
        <f t="shared" si="11"/>
        <v>13014738.902261576</v>
      </c>
      <c r="P35" s="18">
        <f t="shared" si="11"/>
        <v>13168780.481350748</v>
      </c>
      <c r="Q35" s="18">
        <f t="shared" si="11"/>
        <v>13321656.472693017</v>
      </c>
      <c r="R35" s="18">
        <f t="shared" si="11"/>
        <v>13473216.171953594</v>
      </c>
      <c r="S35" s="18">
        <f t="shared" si="11"/>
        <v>13623302.038933579</v>
      </c>
    </row>
    <row r="37" spans="1:19" x14ac:dyDescent="0.25">
      <c r="A37" t="s">
        <v>84</v>
      </c>
      <c r="C37" s="18">
        <f>C21</f>
        <v>2941176</v>
      </c>
      <c r="D37" s="18">
        <f t="shared" ref="D37:S37" si="12">D21</f>
        <v>2941176</v>
      </c>
      <c r="E37" s="18">
        <f t="shared" si="12"/>
        <v>2941176</v>
      </c>
      <c r="F37" s="18">
        <f t="shared" si="12"/>
        <v>2941176</v>
      </c>
      <c r="G37" s="18">
        <f t="shared" si="12"/>
        <v>2941176</v>
      </c>
      <c r="H37" s="18">
        <f t="shared" si="12"/>
        <v>2941176</v>
      </c>
      <c r="I37" s="18">
        <f t="shared" si="12"/>
        <v>2941176</v>
      </c>
      <c r="J37" s="18">
        <f t="shared" si="12"/>
        <v>2941176</v>
      </c>
      <c r="K37" s="18">
        <f t="shared" si="12"/>
        <v>2941176</v>
      </c>
      <c r="L37" s="18">
        <f t="shared" si="12"/>
        <v>2941176</v>
      </c>
      <c r="M37" s="18">
        <f t="shared" si="12"/>
        <v>2941176</v>
      </c>
      <c r="N37" s="18">
        <f t="shared" si="12"/>
        <v>2941176</v>
      </c>
      <c r="O37" s="18">
        <f t="shared" si="12"/>
        <v>2941176</v>
      </c>
      <c r="P37" s="18">
        <f t="shared" si="12"/>
        <v>2941176</v>
      </c>
      <c r="Q37" s="18">
        <f t="shared" si="12"/>
        <v>2941176</v>
      </c>
      <c r="R37" s="18">
        <f t="shared" si="12"/>
        <v>2941176</v>
      </c>
      <c r="S37" s="18">
        <f t="shared" si="12"/>
        <v>2941176</v>
      </c>
    </row>
    <row r="39" spans="1:19" x14ac:dyDescent="0.25">
      <c r="A39" t="s">
        <v>85</v>
      </c>
    </row>
    <row r="40" spans="1:19" x14ac:dyDescent="0.25">
      <c r="A40" t="s">
        <v>86</v>
      </c>
      <c r="B40" s="18">
        <f>B5</f>
        <v>-50000000</v>
      </c>
      <c r="C40" s="18">
        <f>C35+C37</f>
        <v>14063026.800000001</v>
      </c>
      <c r="D40" s="18">
        <f t="shared" ref="D40:S40" si="13">D35+D37</f>
        <v>14221479.491999999</v>
      </c>
      <c r="E40" s="18">
        <f t="shared" si="13"/>
        <v>14380122.884759996</v>
      </c>
      <c r="F40" s="18">
        <f t="shared" si="13"/>
        <v>14538871.441702794</v>
      </c>
      <c r="G40" s="18">
        <f t="shared" si="13"/>
        <v>14697635.235001888</v>
      </c>
      <c r="H40" s="18">
        <f t="shared" si="13"/>
        <v>14856319.777340904</v>
      </c>
      <c r="I40" s="18">
        <f t="shared" si="13"/>
        <v>15014825.847895868</v>
      </c>
      <c r="J40" s="18">
        <f t="shared" si="13"/>
        <v>15173049.31235218</v>
      </c>
      <c r="K40" s="18">
        <f t="shared" si="13"/>
        <v>15330880.936762575</v>
      </c>
      <c r="L40" s="18">
        <f t="shared" si="13"/>
        <v>15488206.195046067</v>
      </c>
      <c r="M40" s="18">
        <f t="shared" si="13"/>
        <v>15644905.069921678</v>
      </c>
      <c r="N40" s="18">
        <f t="shared" si="13"/>
        <v>15800851.847064042</v>
      </c>
      <c r="O40" s="18">
        <f t="shared" si="13"/>
        <v>15955914.902261576</v>
      </c>
      <c r="P40" s="18">
        <f t="shared" si="13"/>
        <v>16109956.481350748</v>
      </c>
      <c r="Q40" s="18">
        <f t="shared" si="13"/>
        <v>16262832.472693017</v>
      </c>
      <c r="R40" s="18">
        <f t="shared" si="13"/>
        <v>16414392.171953594</v>
      </c>
      <c r="S40" s="18">
        <f t="shared" si="13"/>
        <v>16564478.038933579</v>
      </c>
    </row>
    <row r="42" spans="1:19" x14ac:dyDescent="0.25">
      <c r="A42" t="s">
        <v>87</v>
      </c>
      <c r="C42" s="18">
        <f>C40</f>
        <v>14063026.800000001</v>
      </c>
      <c r="D42" s="18">
        <f t="shared" ref="D42:M42" si="14">C42+D40</f>
        <v>28284506.291999999</v>
      </c>
      <c r="E42" s="18">
        <f t="shared" si="14"/>
        <v>42664629.176759996</v>
      </c>
      <c r="F42" s="18">
        <f t="shared" si="14"/>
        <v>57203500.618462786</v>
      </c>
      <c r="G42" s="18">
        <f t="shared" si="14"/>
        <v>71901135.853464678</v>
      </c>
      <c r="H42" s="18">
        <f t="shared" si="14"/>
        <v>86757455.630805582</v>
      </c>
      <c r="I42" s="18">
        <f t="shared" si="14"/>
        <v>101772281.47870144</v>
      </c>
      <c r="J42" s="18">
        <f t="shared" si="14"/>
        <v>116945330.79105362</v>
      </c>
      <c r="K42" s="18">
        <f t="shared" si="14"/>
        <v>132276211.72781619</v>
      </c>
      <c r="L42" s="18">
        <f t="shared" si="14"/>
        <v>147764417.92286226</v>
      </c>
      <c r="M42" s="18">
        <f t="shared" si="14"/>
        <v>163409322.99278393</v>
      </c>
      <c r="N42" s="18"/>
      <c r="O42" s="18"/>
      <c r="P42" s="18"/>
      <c r="Q42" s="18"/>
      <c r="R42" s="18"/>
    </row>
    <row r="43" spans="1:19" x14ac:dyDescent="0.25">
      <c r="F43" t="s">
        <v>88</v>
      </c>
    </row>
    <row r="44" spans="1:19" x14ac:dyDescent="0.25">
      <c r="A44" t="s">
        <v>89</v>
      </c>
      <c r="B44" s="23">
        <f>NPV(B47,B40:S40)</f>
        <v>80753497.627567872</v>
      </c>
      <c r="C44" s="12"/>
    </row>
    <row r="45" spans="1:19" x14ac:dyDescent="0.25">
      <c r="A45" t="s">
        <v>90</v>
      </c>
      <c r="B45" s="14">
        <f>IRR(B40:S40,0.11)</f>
        <v>0.28756042124945735</v>
      </c>
    </row>
    <row r="46" spans="1:19" x14ac:dyDescent="0.25">
      <c r="B46" s="14"/>
    </row>
    <row r="47" spans="1:19" x14ac:dyDescent="0.25">
      <c r="A47" t="s">
        <v>91</v>
      </c>
      <c r="B47" s="1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2011-02-25T21:23:58Z</dcterms:created>
  <dcterms:modified xsi:type="dcterms:W3CDTF">2011-02-28T23:38:54Z</dcterms:modified>
</cp:coreProperties>
</file>