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95" windowWidth="19440" windowHeight="7875"/>
  </bookViews>
  <sheets>
    <sheet name="Equipement List" sheetId="1" r:id="rId1"/>
    <sheet name="Economics" sheetId="2" r:id="rId2"/>
    <sheet name="Sheet2" sheetId="3" r:id="rId3"/>
  </sheets>
  <calcPr calcId="125725"/>
  <customWorkbookViews>
    <customWorkbookView name="Vijeta Patel - Personal View" guid="{7DCB9960-08D5-4449-90C1-2359FB89137D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T23" i="2"/>
  <c r="U23"/>
  <c r="V23" s="1"/>
  <c r="T38"/>
  <c r="U38"/>
  <c r="V38"/>
  <c r="W38"/>
  <c r="X38"/>
  <c r="Y38"/>
  <c r="T12"/>
  <c r="U12"/>
  <c r="V12" s="1"/>
  <c r="W12" s="1"/>
  <c r="X12" s="1"/>
  <c r="Y12" s="1"/>
  <c r="T19"/>
  <c r="U19"/>
  <c r="V19" s="1"/>
  <c r="W19" s="1"/>
  <c r="X19" s="1"/>
  <c r="Y19" s="1"/>
  <c r="T20"/>
  <c r="U20"/>
  <c r="V20" s="1"/>
  <c r="W20" s="1"/>
  <c r="X20" s="1"/>
  <c r="Y20" s="1"/>
  <c r="W23" l="1"/>
  <c r="I31" i="1"/>
  <c r="G8"/>
  <c r="I8" s="1"/>
  <c r="I18"/>
  <c r="E18"/>
  <c r="G20"/>
  <c r="I20" s="1"/>
  <c r="G38"/>
  <c r="C12" i="2"/>
  <c r="I19" i="1"/>
  <c r="G35"/>
  <c r="G22"/>
  <c r="I22" s="1"/>
  <c r="X23" i="2" l="1"/>
  <c r="D12"/>
  <c r="E12" s="1"/>
  <c r="F12" s="1"/>
  <c r="G12" s="1"/>
  <c r="S38"/>
  <c r="R38"/>
  <c r="Q38"/>
  <c r="P38"/>
  <c r="O38"/>
  <c r="N38"/>
  <c r="M38"/>
  <c r="L38"/>
  <c r="K38"/>
  <c r="J38"/>
  <c r="I38"/>
  <c r="H38"/>
  <c r="G38"/>
  <c r="F38"/>
  <c r="E38"/>
  <c r="D38"/>
  <c r="C38"/>
  <c r="D23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D20"/>
  <c r="D19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C15" i="3"/>
  <c r="C25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B40"/>
  <c r="S37"/>
  <c r="R37"/>
  <c r="Q37"/>
  <c r="P37"/>
  <c r="O37"/>
  <c r="N37"/>
  <c r="M37"/>
  <c r="L37"/>
  <c r="K37"/>
  <c r="J37"/>
  <c r="I37"/>
  <c r="H37"/>
  <c r="G37"/>
  <c r="F37"/>
  <c r="E37"/>
  <c r="D37"/>
  <c r="C37"/>
  <c r="D27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I22"/>
  <c r="J22" s="1"/>
  <c r="K22" s="1"/>
  <c r="L22" s="1"/>
  <c r="M22" s="1"/>
  <c r="N22" s="1"/>
  <c r="O22" s="1"/>
  <c r="P22" s="1"/>
  <c r="Q22" s="1"/>
  <c r="R22" s="1"/>
  <c r="S22" s="1"/>
  <c r="G22"/>
  <c r="H22" s="1"/>
  <c r="E22"/>
  <c r="F22" s="1"/>
  <c r="D22"/>
  <c r="E19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D19"/>
  <c r="E18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D18"/>
  <c r="G17"/>
  <c r="H17" s="1"/>
  <c r="I17" s="1"/>
  <c r="J17" s="1"/>
  <c r="K17" s="1"/>
  <c r="L17" s="1"/>
  <c r="M17" s="1"/>
  <c r="N17" s="1"/>
  <c r="O17" s="1"/>
  <c r="P17" s="1"/>
  <c r="Q17" s="1"/>
  <c r="R17" s="1"/>
  <c r="S17" s="1"/>
  <c r="E17"/>
  <c r="F17" s="1"/>
  <c r="D17"/>
  <c r="I16"/>
  <c r="J16" s="1"/>
  <c r="K16" s="1"/>
  <c r="L16" s="1"/>
  <c r="M16" s="1"/>
  <c r="G16"/>
  <c r="H16" s="1"/>
  <c r="E16"/>
  <c r="F16" s="1"/>
  <c r="D16"/>
  <c r="S15"/>
  <c r="R15"/>
  <c r="Q15"/>
  <c r="P15"/>
  <c r="O15"/>
  <c r="N15"/>
  <c r="M15"/>
  <c r="L15"/>
  <c r="K15"/>
  <c r="J15"/>
  <c r="I15"/>
  <c r="H15"/>
  <c r="G15"/>
  <c r="F15"/>
  <c r="E15"/>
  <c r="D15"/>
  <c r="D10"/>
  <c r="E10" s="1"/>
  <c r="Y23" i="2" l="1"/>
  <c r="H12"/>
  <c r="C29" i="3"/>
  <c r="C31" s="1"/>
  <c r="C33" s="1"/>
  <c r="D29"/>
  <c r="D31" s="1"/>
  <c r="E29"/>
  <c r="I29"/>
  <c r="N16"/>
  <c r="O16" s="1"/>
  <c r="P16" s="1"/>
  <c r="Q16" s="1"/>
  <c r="M29"/>
  <c r="E31"/>
  <c r="G29"/>
  <c r="K29"/>
  <c r="O29"/>
  <c r="L29"/>
  <c r="C35"/>
  <c r="C40" s="1"/>
  <c r="F10"/>
  <c r="H29"/>
  <c r="P29"/>
  <c r="F29"/>
  <c r="J29"/>
  <c r="N29"/>
  <c r="I6" i="1"/>
  <c r="I7"/>
  <c r="G33"/>
  <c r="I33" s="1"/>
  <c r="G34"/>
  <c r="I34" s="1"/>
  <c r="I35"/>
  <c r="G39"/>
  <c r="I39" s="1"/>
  <c r="G40"/>
  <c r="I40" s="1"/>
  <c r="G37"/>
  <c r="I37" s="1"/>
  <c r="I38"/>
  <c r="G23"/>
  <c r="I23" s="1"/>
  <c r="G45"/>
  <c r="I45" s="1"/>
  <c r="G21"/>
  <c r="I21" s="1"/>
  <c r="I47" s="1"/>
  <c r="I12" i="2" l="1"/>
  <c r="D33" i="3"/>
  <c r="D35"/>
  <c r="D40" s="1"/>
  <c r="G10"/>
  <c r="F31"/>
  <c r="E33"/>
  <c r="E35" s="1"/>
  <c r="E40" s="1"/>
  <c r="C42"/>
  <c r="D42" s="1"/>
  <c r="R16"/>
  <c r="Q29"/>
  <c r="E46" i="1"/>
  <c r="G46" s="1"/>
  <c r="D48" s="1"/>
  <c r="B7" i="2" l="1"/>
  <c r="D53" i="1"/>
  <c r="X17" i="2"/>
  <c r="T17"/>
  <c r="V17"/>
  <c r="S17"/>
  <c r="Q17"/>
  <c r="L17"/>
  <c r="N17"/>
  <c r="P17"/>
  <c r="H17"/>
  <c r="G17"/>
  <c r="E17"/>
  <c r="C17"/>
  <c r="Y17"/>
  <c r="U17"/>
  <c r="W17"/>
  <c r="R17"/>
  <c r="K17"/>
  <c r="M17"/>
  <c r="O17"/>
  <c r="J17"/>
  <c r="I17"/>
  <c r="F17"/>
  <c r="D17"/>
  <c r="J12"/>
  <c r="G31" i="3"/>
  <c r="H10"/>
  <c r="E42"/>
  <c r="F33"/>
  <c r="F35" s="1"/>
  <c r="F40" s="1"/>
  <c r="S16"/>
  <c r="S29" s="1"/>
  <c r="R29"/>
  <c r="G4" i="1"/>
  <c r="I4" s="1"/>
  <c r="G5"/>
  <c r="I5" s="1"/>
  <c r="G3"/>
  <c r="I3" s="1"/>
  <c r="C18" i="2" l="1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B41"/>
  <c r="D52" i="1"/>
  <c r="I9"/>
  <c r="C28" i="2" s="1"/>
  <c r="D28" s="1"/>
  <c r="E28" s="1"/>
  <c r="F28" s="1"/>
  <c r="G28" s="1"/>
  <c r="H28" s="1"/>
  <c r="I28" s="1"/>
  <c r="J28" s="1"/>
  <c r="K28" s="1"/>
  <c r="L28" s="1"/>
  <c r="M28" s="1"/>
  <c r="N28" s="1"/>
  <c r="O28" s="1"/>
  <c r="P28" s="1"/>
  <c r="Q28" s="1"/>
  <c r="R28" s="1"/>
  <c r="S28" s="1"/>
  <c r="T28" s="1"/>
  <c r="U28" s="1"/>
  <c r="V28" s="1"/>
  <c r="W28" s="1"/>
  <c r="X28" s="1"/>
  <c r="Y28" s="1"/>
  <c r="K12"/>
  <c r="F42" i="3"/>
  <c r="I10"/>
  <c r="H31"/>
  <c r="G33"/>
  <c r="G35" s="1"/>
  <c r="G40" s="1"/>
  <c r="G9" i="1"/>
  <c r="C26" i="2" l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Y30" s="1"/>
  <c r="Y32" s="1"/>
  <c r="L12"/>
  <c r="G42" i="3"/>
  <c r="I31"/>
  <c r="J10"/>
  <c r="H33"/>
  <c r="H35" s="1"/>
  <c r="H40" s="1"/>
  <c r="Y34" i="2" l="1"/>
  <c r="Y36" s="1"/>
  <c r="Y41" s="1"/>
  <c r="T30"/>
  <c r="T32" s="1"/>
  <c r="V30"/>
  <c r="V32" s="1"/>
  <c r="X30"/>
  <c r="X32" s="1"/>
  <c r="W30"/>
  <c r="W32" s="1"/>
  <c r="U30"/>
  <c r="U32" s="1"/>
  <c r="J30"/>
  <c r="J32" s="1"/>
  <c r="J34" s="1"/>
  <c r="J36" s="1"/>
  <c r="J41" s="1"/>
  <c r="K30"/>
  <c r="K32" s="1"/>
  <c r="K34" s="1"/>
  <c r="K36" s="1"/>
  <c r="K41" s="1"/>
  <c r="I30"/>
  <c r="I32" s="1"/>
  <c r="I34" s="1"/>
  <c r="I36" s="1"/>
  <c r="I41" s="1"/>
  <c r="H30"/>
  <c r="H32" s="1"/>
  <c r="H34" s="1"/>
  <c r="H36" s="1"/>
  <c r="H41" s="1"/>
  <c r="E30"/>
  <c r="E32" s="1"/>
  <c r="E34" s="1"/>
  <c r="E36" s="1"/>
  <c r="E41" s="1"/>
  <c r="F30"/>
  <c r="F32" s="1"/>
  <c r="F34" s="1"/>
  <c r="F36" s="1"/>
  <c r="F41" s="1"/>
  <c r="N30"/>
  <c r="G30"/>
  <c r="G32" s="1"/>
  <c r="G34" s="1"/>
  <c r="G36" s="1"/>
  <c r="G41" s="1"/>
  <c r="C30"/>
  <c r="C32" s="1"/>
  <c r="C34" s="1"/>
  <c r="C36" s="1"/>
  <c r="C41" s="1"/>
  <c r="C43" s="1"/>
  <c r="Q30"/>
  <c r="L30"/>
  <c r="L32" s="1"/>
  <c r="D30"/>
  <c r="D32" s="1"/>
  <c r="D34" s="1"/>
  <c r="D36" s="1"/>
  <c r="D41" s="1"/>
  <c r="M30"/>
  <c r="P30"/>
  <c r="S30"/>
  <c r="R30"/>
  <c r="O30"/>
  <c r="M12"/>
  <c r="I33" i="3"/>
  <c r="I35" s="1"/>
  <c r="I40" s="1"/>
  <c r="H42"/>
  <c r="K10"/>
  <c r="J31"/>
  <c r="U34" i="2" l="1"/>
  <c r="U36" s="1"/>
  <c r="U41" s="1"/>
  <c r="X34"/>
  <c r="X36" s="1"/>
  <c r="X41" s="1"/>
  <c r="T34"/>
  <c r="T36" s="1"/>
  <c r="T41" s="1"/>
  <c r="W34"/>
  <c r="W36" s="1"/>
  <c r="W41" s="1"/>
  <c r="V34"/>
  <c r="V36" s="1"/>
  <c r="V41" s="1"/>
  <c r="D43"/>
  <c r="E43" s="1"/>
  <c r="F43" s="1"/>
  <c r="G43" s="1"/>
  <c r="H43" s="1"/>
  <c r="I43" s="1"/>
  <c r="J43" s="1"/>
  <c r="K43" s="1"/>
  <c r="L34"/>
  <c r="L36" s="1"/>
  <c r="L41" s="1"/>
  <c r="M32"/>
  <c r="N12"/>
  <c r="I42" i="3"/>
  <c r="J33"/>
  <c r="J35" s="1"/>
  <c r="J40" s="1"/>
  <c r="K31"/>
  <c r="L10"/>
  <c r="L43" i="2" l="1"/>
  <c r="M34"/>
  <c r="M36" s="1"/>
  <c r="M41" s="1"/>
  <c r="O12"/>
  <c r="N32"/>
  <c r="K33" i="3"/>
  <c r="K35" s="1"/>
  <c r="K40" s="1"/>
  <c r="M10"/>
  <c r="L31"/>
  <c r="J42"/>
  <c r="M43" i="2" l="1"/>
  <c r="N34"/>
  <c r="N36" s="1"/>
  <c r="N41" s="1"/>
  <c r="P12"/>
  <c r="O32"/>
  <c r="K42" i="3"/>
  <c r="L33"/>
  <c r="L35" s="1"/>
  <c r="L40" s="1"/>
  <c r="M31"/>
  <c r="N10"/>
  <c r="N43" i="2" l="1"/>
  <c r="O34"/>
  <c r="O36" s="1"/>
  <c r="O41" s="1"/>
  <c r="Q12"/>
  <c r="P32"/>
  <c r="O10" i="3"/>
  <c r="N31"/>
  <c r="L42"/>
  <c r="M33"/>
  <c r="M35" s="1"/>
  <c r="M40" s="1"/>
  <c r="O43" i="2" l="1"/>
  <c r="Q32"/>
  <c r="R12"/>
  <c r="P34"/>
  <c r="P36" s="1"/>
  <c r="P41" s="1"/>
  <c r="P43" s="1"/>
  <c r="N33" i="3"/>
  <c r="N35"/>
  <c r="N40" s="1"/>
  <c r="M42"/>
  <c r="O31"/>
  <c r="P10"/>
  <c r="S12" i="2" l="1"/>
  <c r="S32" s="1"/>
  <c r="R32"/>
  <c r="Q34"/>
  <c r="Q36" s="1"/>
  <c r="Q41" s="1"/>
  <c r="Q43" s="1"/>
  <c r="Q10" i="3"/>
  <c r="P31"/>
  <c r="O33"/>
  <c r="O35" s="1"/>
  <c r="O40" s="1"/>
  <c r="R34" i="2" l="1"/>
  <c r="R36" s="1"/>
  <c r="R41" s="1"/>
  <c r="R43" s="1"/>
  <c r="S34"/>
  <c r="S36" s="1"/>
  <c r="S41" s="1"/>
  <c r="P33" i="3"/>
  <c r="P35"/>
  <c r="P40" s="1"/>
  <c r="Q31"/>
  <c r="R10"/>
  <c r="S43" i="2" l="1"/>
  <c r="T43" s="1"/>
  <c r="U43" s="1"/>
  <c r="V43" s="1"/>
  <c r="W43" s="1"/>
  <c r="X43" s="1"/>
  <c r="Y43" s="1"/>
  <c r="B46"/>
  <c r="B45"/>
  <c r="Q33" i="3"/>
  <c r="Q35" s="1"/>
  <c r="Q40" s="1"/>
  <c r="S10"/>
  <c r="S31" s="1"/>
  <c r="R31"/>
  <c r="R33" l="1"/>
  <c r="R35"/>
  <c r="R40" s="1"/>
  <c r="S33"/>
  <c r="S35" s="1"/>
  <c r="S40" s="1"/>
  <c r="B44" l="1"/>
  <c r="B45"/>
</calcChain>
</file>

<file path=xl/sharedStrings.xml><?xml version="1.0" encoding="utf-8"?>
<sst xmlns="http://schemas.openxmlformats.org/spreadsheetml/2006/main" count="143" uniqueCount="114">
  <si>
    <t>Raw Materials</t>
  </si>
  <si>
    <t>Petcoke (T/D)</t>
  </si>
  <si>
    <t>Ferro-chrome</t>
  </si>
  <si>
    <t>Aluminum oxide</t>
  </si>
  <si>
    <t>Platinum</t>
  </si>
  <si>
    <t>Price ($)</t>
  </si>
  <si>
    <t>Total Cost (day)</t>
  </si>
  <si>
    <t>Quantity(day)</t>
  </si>
  <si>
    <t>($/mt)</t>
  </si>
  <si>
    <t>Water(gallon)</t>
  </si>
  <si>
    <t>year</t>
  </si>
  <si>
    <t>current value</t>
  </si>
  <si>
    <t>($/lbm)</t>
  </si>
  <si>
    <t>Cost ($)/(year)</t>
  </si>
  <si>
    <t>Equipments</t>
  </si>
  <si>
    <t>Total cost</t>
  </si>
  <si>
    <t>Gasifier</t>
  </si>
  <si>
    <t>Area (squarefeet)</t>
  </si>
  <si>
    <t>Cooler 1</t>
  </si>
  <si>
    <t>Cooler 2</t>
  </si>
  <si>
    <t>cost ($)</t>
  </si>
  <si>
    <t>Zinc oxide (lbm/day)</t>
  </si>
  <si>
    <t>Reactor 1 (HTS)</t>
  </si>
  <si>
    <t xml:space="preserve">Utilities </t>
  </si>
  <si>
    <t>Mixer</t>
  </si>
  <si>
    <t>Flash Gas Compressor</t>
  </si>
  <si>
    <t>($/2.20 lbm)</t>
  </si>
  <si>
    <t>(by KFO)</t>
  </si>
  <si>
    <t>($/110 lbm)</t>
  </si>
  <si>
    <t>Heat Duty (MMBTU/hr)</t>
  </si>
  <si>
    <t>Cyclone</t>
  </si>
  <si>
    <t>assuming 4000 gallons of volume and 600 psi</t>
  </si>
  <si>
    <t>assuming 4000 gallons of volume and 150 psi</t>
  </si>
  <si>
    <t>assuming pul. Coal fired at 600 psi and 750 F 270,000 lb/hr feed</t>
  </si>
  <si>
    <t>(assuming that the plant would be running 350 days per year)</t>
  </si>
  <si>
    <t>Income Statement for UIC Enterprises</t>
  </si>
  <si>
    <t>Year</t>
  </si>
  <si>
    <t>Capital Cost</t>
  </si>
  <si>
    <t>Revenues</t>
  </si>
  <si>
    <t>10,000,000 gal</t>
  </si>
  <si>
    <t>at $5/lb</t>
  </si>
  <si>
    <t>Expenses</t>
  </si>
  <si>
    <t>Utilities</t>
  </si>
  <si>
    <t>Loan Expense</t>
  </si>
  <si>
    <t>Steam Generation</t>
  </si>
  <si>
    <t>Cooling water</t>
  </si>
  <si>
    <t>Electrical</t>
  </si>
  <si>
    <t>Other Gas Costs</t>
  </si>
  <si>
    <t>Depreciation</t>
  </si>
  <si>
    <t>Salaries and Fringes</t>
  </si>
  <si>
    <t>Maintenance</t>
  </si>
  <si>
    <t>3% of cap cost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</si>
  <si>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</si>
  <si>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</si>
  <si>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</si>
  <si>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</si>
  <si>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</si>
  <si>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</si>
  <si>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</si>
  <si>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</si>
  <si>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Payback of 4 years</t>
  </si>
  <si>
    <t>NPV</t>
  </si>
  <si>
    <t>IRR</t>
  </si>
  <si>
    <t>Interest</t>
  </si>
  <si>
    <t>Cost ($) for Nov. 2010</t>
  </si>
  <si>
    <t>ASU</t>
  </si>
  <si>
    <t>Maintainance cost</t>
  </si>
  <si>
    <t>cost year</t>
  </si>
  <si>
    <t>Assuming Installation factor includes direct cost, indirect cost, contingency cost, and a contractor's fee</t>
  </si>
  <si>
    <t>1650 ton of</t>
  </si>
  <si>
    <t>syngas at $150/ton</t>
  </si>
  <si>
    <t xml:space="preserve">10 feet diameter ; 1250 hp </t>
  </si>
  <si>
    <t>Reactor 3 (CP)</t>
  </si>
  <si>
    <t>Reactor 4 (CP)</t>
  </si>
  <si>
    <t>Reactor 5 (CP)</t>
  </si>
  <si>
    <t>oil/gas field fab 600 psi ; 750 F; 5000 lb/hr</t>
  </si>
  <si>
    <t>index</t>
  </si>
  <si>
    <t>tube filter</t>
  </si>
  <si>
    <t>Absorber 1</t>
  </si>
  <si>
    <t>Absorber 2</t>
  </si>
  <si>
    <t>Heat exchanger 4</t>
  </si>
  <si>
    <t>$/hr</t>
  </si>
  <si>
    <t>Candle filter</t>
  </si>
  <si>
    <t>Claus Furnace</t>
  </si>
  <si>
    <t>CO2 Capture Plant</t>
  </si>
  <si>
    <t>Compressors</t>
  </si>
  <si>
    <t>Cooler 3</t>
  </si>
  <si>
    <t>Cooler 4</t>
  </si>
  <si>
    <t>Cooler 5</t>
  </si>
  <si>
    <t>H2S Stripper</t>
  </si>
  <si>
    <t>Heat exchanger 1</t>
  </si>
  <si>
    <t>Heat exchanger 2</t>
  </si>
  <si>
    <t>Heat exchanger 3</t>
  </si>
  <si>
    <t>Petcoke Crusher</t>
  </si>
  <si>
    <t>Heaters (3)</t>
  </si>
  <si>
    <t>Boiler</t>
  </si>
  <si>
    <t>Royalties</t>
  </si>
  <si>
    <t>Taxes</t>
  </si>
  <si>
    <t>Laboratory</t>
  </si>
  <si>
    <t>Labor Cost</t>
  </si>
  <si>
    <t>Description</t>
  </si>
  <si>
    <t>Fluid</t>
  </si>
  <si>
    <t>Rate</t>
  </si>
  <si>
    <t>Units</t>
  </si>
  <si>
    <t>Rate Units</t>
  </si>
  <si>
    <t>Cost per Hour</t>
  </si>
  <si>
    <t>Cooling Water</t>
  </si>
  <si>
    <t>Water</t>
  </si>
  <si>
    <t>MMGAL</t>
  </si>
  <si>
    <t>MMGAL/H</t>
  </si>
  <si>
    <t>Steam @400PSI</t>
  </si>
  <si>
    <t>Steam</t>
  </si>
  <si>
    <t>KLB</t>
  </si>
  <si>
    <t>KLB/H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</si>
</sst>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E+00"/>
    <numFmt numFmtId="165" formatCode="&quot;$&quot;#,##0.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1" fillId="3" borderId="0" xfId="0" applyFont="1" applyFill="1"/>
    <xf numFmtId="0" fontId="1" fillId="4" borderId="0" xfId="0" applyFont="1" applyFill="1"/>
    <xf numFmtId="0" fontId="1" fillId="3" borderId="0" xfId="0" applyFont="1" applyFill="1" applyAlignment="1">
      <alignment wrapText="1"/>
    </xf>
    <xf numFmtId="0" fontId="1" fillId="0" borderId="0" xfId="0" applyFont="1" applyFill="1"/>
    <xf numFmtId="0" fontId="2" fillId="2" borderId="0" xfId="0" applyFont="1" applyFill="1"/>
    <xf numFmtId="0" fontId="3" fillId="2" borderId="0" xfId="0" applyFont="1" applyFill="1"/>
    <xf numFmtId="0" fontId="1" fillId="5" borderId="0" xfId="0" applyFont="1" applyFill="1"/>
    <xf numFmtId="0" fontId="0" fillId="0" borderId="0" xfId="0" applyAlignment="1">
      <alignment horizontal="left" vertical="center" wrapText="1"/>
    </xf>
    <xf numFmtId="164" fontId="0" fillId="0" borderId="0" xfId="0" applyNumberFormat="1"/>
    <xf numFmtId="11" fontId="0" fillId="0" borderId="0" xfId="0" applyNumberFormat="1"/>
    <xf numFmtId="8" fontId="0" fillId="0" borderId="0" xfId="0" applyNumberFormat="1"/>
    <xf numFmtId="44" fontId="0" fillId="0" borderId="0" xfId="0" applyNumberFormat="1"/>
    <xf numFmtId="10" fontId="0" fillId="0" borderId="0" xfId="0" applyNumberFormat="1"/>
    <xf numFmtId="0" fontId="4" fillId="0" borderId="0" xfId="0" applyFont="1"/>
    <xf numFmtId="3" fontId="0" fillId="0" borderId="0" xfId="0" applyNumberFormat="1"/>
    <xf numFmtId="0" fontId="5" fillId="0" borderId="0" xfId="0" applyFont="1"/>
    <xf numFmtId="3" fontId="6" fillId="0" borderId="0" xfId="0" applyNumberFormat="1" applyFont="1"/>
    <xf numFmtId="0" fontId="6" fillId="0" borderId="0" xfId="0" applyFont="1"/>
    <xf numFmtId="38" fontId="0" fillId="0" borderId="0" xfId="0" applyNumberFormat="1"/>
    <xf numFmtId="6" fontId="0" fillId="0" borderId="0" xfId="0" applyNumberFormat="1"/>
    <xf numFmtId="3" fontId="0" fillId="4" borderId="0" xfId="0" applyNumberFormat="1" applyFill="1"/>
    <xf numFmtId="44" fontId="0" fillId="0" borderId="0" xfId="1" applyFont="1"/>
    <xf numFmtId="44" fontId="0" fillId="4" borderId="0" xfId="1" applyFont="1" applyFill="1"/>
    <xf numFmtId="0" fontId="5" fillId="2" borderId="0" xfId="0" applyFont="1" applyFill="1"/>
    <xf numFmtId="0" fontId="0" fillId="2" borderId="0" xfId="0" applyFill="1"/>
    <xf numFmtId="0" fontId="0" fillId="0" borderId="0" xfId="0" applyNumberFormat="1" applyAlignment="1">
      <alignment horizontal="center"/>
    </xf>
    <xf numFmtId="0" fontId="1" fillId="3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1" fillId="3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center"/>
    </xf>
    <xf numFmtId="8" fontId="0" fillId="0" borderId="0" xfId="0" applyNumberFormat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wrapText="1"/>
    </xf>
    <xf numFmtId="165" fontId="0" fillId="0" borderId="0" xfId="0" applyNumberFormat="1"/>
    <xf numFmtId="165" fontId="1" fillId="3" borderId="0" xfId="0" applyNumberFormat="1" applyFont="1" applyFill="1"/>
    <xf numFmtId="165" fontId="2" fillId="2" borderId="0" xfId="0" applyNumberFormat="1" applyFont="1" applyFill="1"/>
    <xf numFmtId="165" fontId="1" fillId="3" borderId="0" xfId="0" applyNumberFormat="1" applyFont="1" applyFill="1" applyAlignment="1">
      <alignment wrapText="1"/>
    </xf>
    <xf numFmtId="8" fontId="0" fillId="4" borderId="0" xfId="1" applyNumberFormat="1" applyFont="1" applyFill="1"/>
    <xf numFmtId="44" fontId="6" fillId="4" borderId="0" xfId="1" applyFont="1" applyFill="1"/>
    <xf numFmtId="44" fontId="6" fillId="0" borderId="0" xfId="1" applyFont="1"/>
    <xf numFmtId="44" fontId="0" fillId="0" borderId="0" xfId="1" applyFont="1" applyAlignment="1">
      <alignment horizontal="center"/>
    </xf>
    <xf numFmtId="0" fontId="1" fillId="6" borderId="0" xfId="0" applyFont="1" applyFill="1" applyAlignment="1">
      <alignment horizontal="center" wrapText="1"/>
    </xf>
    <xf numFmtId="0" fontId="1" fillId="7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53"/>
  <sheetViews>
    <sheetView tabSelected="1" workbookViewId="0">
      <selection activeCell="C13" sqref="C13"/>
    </sheetView>
  </sheetViews>
  <sheetFormatPr defaultRowHeight="15"/>
  <cols>
    <col min="1" max="1" width="9.140625" customWidth="1"/>
    <col min="2" max="2" width="22.42578125" style="1" customWidth="1"/>
    <col min="3" max="3" width="16.42578125" customWidth="1"/>
    <col min="4" max="4" width="18.42578125" customWidth="1"/>
    <col min="5" max="5" width="16.42578125" style="37" customWidth="1"/>
    <col min="6" max="6" width="16.42578125" style="27" customWidth="1"/>
    <col min="7" max="7" width="20.85546875" customWidth="1"/>
    <col min="8" max="8" width="20.85546875" style="27" customWidth="1"/>
    <col min="9" max="9" width="25.140625" customWidth="1"/>
    <col min="10" max="10" width="16.140625" customWidth="1"/>
    <col min="11" max="11" width="17" customWidth="1"/>
    <col min="12" max="12" width="18.5703125" customWidth="1"/>
  </cols>
  <sheetData>
    <row r="1" spans="2:12" ht="45.75" customHeight="1">
      <c r="I1" s="9" t="s">
        <v>34</v>
      </c>
    </row>
    <row r="2" spans="2:12" s="2" customFormat="1">
      <c r="B2" s="2" t="s">
        <v>0</v>
      </c>
      <c r="C2" s="2" t="s">
        <v>7</v>
      </c>
      <c r="D2" s="2" t="s">
        <v>5</v>
      </c>
      <c r="E2" s="38"/>
      <c r="F2" s="28"/>
      <c r="G2" s="2" t="s">
        <v>6</v>
      </c>
      <c r="H2" s="28"/>
      <c r="I2" s="2" t="s">
        <v>13</v>
      </c>
      <c r="J2" s="2" t="s">
        <v>10</v>
      </c>
      <c r="K2" s="2" t="s">
        <v>11</v>
      </c>
    </row>
    <row r="3" spans="2:12">
      <c r="B3" s="8" t="s">
        <v>1</v>
      </c>
      <c r="C3">
        <v>2000</v>
      </c>
      <c r="D3" s="13">
        <v>45</v>
      </c>
      <c r="E3" s="37" t="s">
        <v>8</v>
      </c>
      <c r="G3" s="23">
        <f>D3*C3</f>
        <v>90000</v>
      </c>
      <c r="H3" s="44"/>
      <c r="I3" s="23">
        <f>G3*350</f>
        <v>31500000</v>
      </c>
      <c r="J3">
        <v>2008</v>
      </c>
    </row>
    <row r="4" spans="2:12">
      <c r="B4" s="3" t="s">
        <v>21</v>
      </c>
      <c r="C4">
        <v>0.48</v>
      </c>
      <c r="D4" s="13">
        <v>18</v>
      </c>
      <c r="E4" s="37" t="s">
        <v>26</v>
      </c>
      <c r="G4" s="23">
        <f>D4*C4</f>
        <v>8.64</v>
      </c>
      <c r="H4" s="44"/>
      <c r="I4" s="23">
        <f t="shared" ref="I4:I7" si="0">G4*350</f>
        <v>3024</v>
      </c>
      <c r="J4">
        <v>2011</v>
      </c>
      <c r="L4" t="s">
        <v>27</v>
      </c>
    </row>
    <row r="5" spans="2:12">
      <c r="B5" s="5" t="s">
        <v>2</v>
      </c>
      <c r="D5" s="13">
        <v>1.33</v>
      </c>
      <c r="E5" s="37" t="s">
        <v>12</v>
      </c>
      <c r="G5" s="23">
        <f>D5*C5</f>
        <v>0</v>
      </c>
      <c r="H5" s="44"/>
      <c r="I5" s="23">
        <f t="shared" si="0"/>
        <v>0</v>
      </c>
      <c r="J5">
        <v>2011</v>
      </c>
    </row>
    <row r="6" spans="2:12">
      <c r="B6" s="1" t="s">
        <v>3</v>
      </c>
      <c r="D6" s="13">
        <v>2548.75</v>
      </c>
      <c r="E6" s="37" t="s">
        <v>28</v>
      </c>
      <c r="G6" s="23"/>
      <c r="H6" s="44"/>
      <c r="I6" s="23">
        <f t="shared" si="0"/>
        <v>0</v>
      </c>
    </row>
    <row r="7" spans="2:12">
      <c r="B7" s="1" t="s">
        <v>4</v>
      </c>
      <c r="D7" s="13"/>
      <c r="G7" s="23"/>
      <c r="H7" s="44"/>
      <c r="I7" s="23">
        <f t="shared" si="0"/>
        <v>0</v>
      </c>
    </row>
    <row r="8" spans="2:12">
      <c r="B8" s="1" t="s">
        <v>9</v>
      </c>
      <c r="D8" s="13">
        <v>223.20060000000001</v>
      </c>
      <c r="E8" s="37" t="s">
        <v>81</v>
      </c>
      <c r="G8" s="23">
        <f>D8*24</f>
        <v>5356.8144000000002</v>
      </c>
      <c r="H8" s="44"/>
      <c r="I8" s="23">
        <f>G8*350</f>
        <v>1874885.04</v>
      </c>
      <c r="J8">
        <v>2011</v>
      </c>
    </row>
    <row r="9" spans="2:12">
      <c r="G9" s="23">
        <f>SUM(G3:G8)</f>
        <v>95365.454400000002</v>
      </c>
      <c r="H9" s="44"/>
      <c r="I9" s="23">
        <f>SUM(I3:I8)</f>
        <v>33377909.039999999</v>
      </c>
    </row>
    <row r="10" spans="2:12">
      <c r="G10" s="10"/>
      <c r="I10" s="10"/>
    </row>
    <row r="11" spans="2:12" s="6" customFormat="1">
      <c r="B11" s="7"/>
      <c r="E11" s="39"/>
      <c r="F11" s="29"/>
      <c r="H11" s="29"/>
    </row>
    <row r="12" spans="2:12">
      <c r="B12" s="1" t="s">
        <v>23</v>
      </c>
      <c r="C12" s="48" t="s">
        <v>100</v>
      </c>
      <c r="D12" s="48" t="s">
        <v>101</v>
      </c>
      <c r="E12" s="49" t="s">
        <v>102</v>
      </c>
      <c r="F12" s="48" t="s">
        <v>103</v>
      </c>
      <c r="G12" s="48" t="s">
        <v>104</v>
      </c>
      <c r="H12" s="49" t="s">
        <v>105</v>
      </c>
    </row>
    <row r="13" spans="2:12">
      <c r="C13" s="50"/>
      <c r="D13" s="50"/>
      <c r="E13" s="51"/>
      <c r="F13" s="50"/>
      <c r="G13" s="50"/>
      <c r="H13" s="51"/>
      <c r="I13" s="11"/>
    </row>
    <row r="14" spans="2:12">
      <c r="C14" s="50" t="s">
        <v>106</v>
      </c>
      <c r="D14" s="50" t="s">
        <v>107</v>
      </c>
      <c r="E14" s="51">
        <v>1.8600049999999999</v>
      </c>
      <c r="F14" s="50" t="s">
        <v>108</v>
      </c>
      <c r="G14" s="50" t="s">
        <v>109</v>
      </c>
      <c r="H14" s="51">
        <v>223.20060000000001</v>
      </c>
    </row>
    <row r="15" spans="2:12">
      <c r="C15" s="50" t="s">
        <v>110</v>
      </c>
      <c r="D15" s="50" t="s">
        <v>111</v>
      </c>
      <c r="E15" s="51">
        <v>7.8326380000000002</v>
      </c>
      <c r="F15" s="50" t="s">
        <v>112</v>
      </c>
      <c r="G15" s="50" t="s">
        <v>113</v>
      </c>
      <c r="H15" s="51">
        <v>91.720191</v>
      </c>
    </row>
    <row r="16" spans="2:12" s="4" customFormat="1" ht="30">
      <c r="B16" s="4" t="s">
        <v>14</v>
      </c>
      <c r="C16" s="4" t="s">
        <v>17</v>
      </c>
      <c r="D16" s="4" t="s">
        <v>29</v>
      </c>
      <c r="E16" s="40" t="s">
        <v>20</v>
      </c>
      <c r="F16" s="30" t="s">
        <v>67</v>
      </c>
      <c r="G16" s="4" t="s">
        <v>64</v>
      </c>
      <c r="H16" s="30" t="s">
        <v>76</v>
      </c>
      <c r="I16" s="4" t="s">
        <v>15</v>
      </c>
      <c r="J16" s="45" t="s">
        <v>68</v>
      </c>
      <c r="K16" s="45"/>
      <c r="L16" s="45"/>
    </row>
    <row r="17" spans="2:12" s="33" customFormat="1">
      <c r="B17" s="33" t="s">
        <v>78</v>
      </c>
      <c r="E17" s="36">
        <v>1150000</v>
      </c>
      <c r="F17" s="34"/>
      <c r="H17" s="34"/>
      <c r="I17" s="37">
        <v>1500000</v>
      </c>
      <c r="J17" s="35"/>
      <c r="K17" s="35"/>
      <c r="L17" s="35"/>
    </row>
    <row r="18" spans="2:12" s="33" customFormat="1">
      <c r="B18" s="33" t="s">
        <v>79</v>
      </c>
      <c r="E18" s="36">
        <f>E17</f>
        <v>1150000</v>
      </c>
      <c r="F18" s="34"/>
      <c r="H18" s="34"/>
      <c r="I18" s="36">
        <f>I17</f>
        <v>1500000</v>
      </c>
      <c r="J18" s="35"/>
      <c r="K18" s="35"/>
      <c r="L18" s="35"/>
    </row>
    <row r="19" spans="2:12">
      <c r="B19" s="1" t="s">
        <v>65</v>
      </c>
      <c r="D19" s="12"/>
      <c r="G19" s="13"/>
      <c r="I19" s="13">
        <f>100000000</f>
        <v>100000000</v>
      </c>
    </row>
    <row r="20" spans="2:12">
      <c r="B20" s="1" t="s">
        <v>82</v>
      </c>
      <c r="D20" s="12"/>
      <c r="E20" s="37">
        <v>344200</v>
      </c>
      <c r="F20" s="27">
        <v>2007</v>
      </c>
      <c r="G20" s="13">
        <f>E20*(556.8/525.4)</f>
        <v>364770.76513132849</v>
      </c>
      <c r="H20" s="27">
        <v>1.4</v>
      </c>
      <c r="I20" s="13">
        <f>H20*G20</f>
        <v>510679.07118385984</v>
      </c>
      <c r="K20" t="s">
        <v>77</v>
      </c>
    </row>
    <row r="21" spans="2:12">
      <c r="B21" s="1" t="s">
        <v>83</v>
      </c>
      <c r="G21" s="13">
        <f>(556.8/525.4)*E21</f>
        <v>0</v>
      </c>
      <c r="I21" s="13">
        <f t="shared" ref="I21:I45" si="1">G21*H21</f>
        <v>0</v>
      </c>
    </row>
    <row r="22" spans="2:12">
      <c r="B22" s="1" t="s">
        <v>84</v>
      </c>
      <c r="E22" s="37">
        <v>52000000</v>
      </c>
      <c r="F22" s="27">
        <v>2009</v>
      </c>
      <c r="G22" s="13">
        <f>(556.8/521.9)*E22</f>
        <v>55477294.500862226</v>
      </c>
      <c r="I22" s="13">
        <f>G22</f>
        <v>55477294.500862226</v>
      </c>
    </row>
    <row r="23" spans="2:12">
      <c r="B23" s="1" t="s">
        <v>85</v>
      </c>
      <c r="E23" s="37">
        <v>257500</v>
      </c>
      <c r="F23" s="27">
        <v>2007</v>
      </c>
      <c r="G23" s="13">
        <f>(556.8/525.4)*E23</f>
        <v>272889.22725542443</v>
      </c>
      <c r="H23" s="27">
        <v>1.5</v>
      </c>
      <c r="I23" s="13">
        <f t="shared" si="1"/>
        <v>409333.84088313661</v>
      </c>
    </row>
    <row r="24" spans="2:12">
      <c r="B24" s="1" t="s">
        <v>18</v>
      </c>
      <c r="C24" s="1"/>
      <c r="D24" s="31">
        <v>4</v>
      </c>
      <c r="E24" s="37">
        <v>162300</v>
      </c>
      <c r="G24" s="13"/>
      <c r="I24" s="13">
        <v>302500</v>
      </c>
    </row>
    <row r="25" spans="2:12">
      <c r="B25" s="1" t="s">
        <v>19</v>
      </c>
      <c r="C25" s="1"/>
      <c r="D25" s="31">
        <v>1</v>
      </c>
      <c r="E25" s="37">
        <v>168800</v>
      </c>
      <c r="G25" s="13"/>
      <c r="I25" s="13">
        <v>320600</v>
      </c>
    </row>
    <row r="26" spans="2:12">
      <c r="B26" s="1" t="s">
        <v>86</v>
      </c>
      <c r="C26" s="1"/>
      <c r="D26" s="31"/>
      <c r="E26" s="37">
        <v>16700</v>
      </c>
      <c r="G26" s="13"/>
      <c r="I26" s="13">
        <v>79200</v>
      </c>
    </row>
    <row r="27" spans="2:12">
      <c r="B27" s="1" t="s">
        <v>87</v>
      </c>
      <c r="C27" s="1"/>
      <c r="D27" s="31"/>
      <c r="E27" s="37">
        <v>13600</v>
      </c>
      <c r="G27" s="13"/>
      <c r="I27" s="13">
        <v>73600</v>
      </c>
    </row>
    <row r="28" spans="2:12">
      <c r="B28" s="1" t="s">
        <v>88</v>
      </c>
      <c r="C28" s="1"/>
      <c r="D28" s="31"/>
      <c r="E28" s="37">
        <v>11800</v>
      </c>
      <c r="G28" s="13"/>
      <c r="I28" s="13">
        <v>69800</v>
      </c>
    </row>
    <row r="29" spans="2:12">
      <c r="B29" s="1" t="s">
        <v>30</v>
      </c>
      <c r="D29" s="32"/>
      <c r="E29" s="37">
        <v>102600</v>
      </c>
      <c r="G29" s="13"/>
      <c r="I29" s="13">
        <v>159000</v>
      </c>
    </row>
    <row r="30" spans="2:12" ht="18.75" customHeight="1">
      <c r="B30" s="1" t="s">
        <v>25</v>
      </c>
      <c r="E30" s="37">
        <v>610100</v>
      </c>
      <c r="G30" s="13"/>
      <c r="I30" s="13">
        <v>1248600</v>
      </c>
      <c r="K30" t="s">
        <v>31</v>
      </c>
    </row>
    <row r="31" spans="2:12" ht="15" customHeight="1">
      <c r="B31" s="1" t="s">
        <v>16</v>
      </c>
      <c r="C31" s="1"/>
      <c r="D31" s="1"/>
      <c r="E31" s="37">
        <v>66000000</v>
      </c>
      <c r="G31" s="13"/>
      <c r="I31" s="13">
        <f>66000000</f>
        <v>66000000</v>
      </c>
      <c r="K31" t="s">
        <v>32</v>
      </c>
    </row>
    <row r="32" spans="2:12">
      <c r="B32" s="1" t="s">
        <v>89</v>
      </c>
      <c r="E32" s="37">
        <v>48400</v>
      </c>
      <c r="G32" s="13"/>
      <c r="H32" s="27">
        <v>2.1</v>
      </c>
      <c r="I32" s="13">
        <v>178400</v>
      </c>
    </row>
    <row r="33" spans="2:12">
      <c r="B33" s="1" t="s">
        <v>90</v>
      </c>
      <c r="C33" s="1">
        <v>491</v>
      </c>
      <c r="D33" s="1"/>
      <c r="E33" s="37">
        <v>55800</v>
      </c>
      <c r="F33" s="27">
        <v>2007</v>
      </c>
      <c r="G33" s="13">
        <f>(556.8/525.4)*E33</f>
        <v>59134.830605253141</v>
      </c>
      <c r="H33" s="27">
        <v>2.1</v>
      </c>
      <c r="I33" s="13">
        <f t="shared" si="1"/>
        <v>124183.1442710316</v>
      </c>
    </row>
    <row r="34" spans="2:12">
      <c r="B34" s="1" t="s">
        <v>91</v>
      </c>
      <c r="C34" s="1">
        <v>2860</v>
      </c>
      <c r="D34" s="1"/>
      <c r="E34" s="37">
        <v>232700</v>
      </c>
      <c r="F34" s="27">
        <v>2007</v>
      </c>
      <c r="G34" s="13">
        <f>(556.8/525.4)*E34</f>
        <v>246607.08031975638</v>
      </c>
      <c r="H34" s="27">
        <v>2.1</v>
      </c>
      <c r="I34" s="13">
        <f t="shared" si="1"/>
        <v>517874.86867148842</v>
      </c>
    </row>
    <row r="35" spans="2:12">
      <c r="B35" s="1" t="s">
        <v>92</v>
      </c>
      <c r="C35" s="1">
        <v>1200</v>
      </c>
      <c r="D35" s="1"/>
      <c r="E35" s="37">
        <v>115100</v>
      </c>
      <c r="F35" s="27">
        <v>2007</v>
      </c>
      <c r="G35" s="13">
        <f>(556.8/525.4)*E35</f>
        <v>121978.83517320137</v>
      </c>
      <c r="H35" s="27">
        <v>2.1</v>
      </c>
      <c r="I35" s="13">
        <f t="shared" si="1"/>
        <v>256155.55386372289</v>
      </c>
    </row>
    <row r="36" spans="2:12">
      <c r="B36" s="1" t="s">
        <v>80</v>
      </c>
      <c r="C36" s="1"/>
      <c r="D36" s="1"/>
      <c r="E36" s="37">
        <v>92300</v>
      </c>
      <c r="G36" s="13"/>
      <c r="I36" s="13">
        <v>224300</v>
      </c>
    </row>
    <row r="37" spans="2:12">
      <c r="B37" s="1" t="s">
        <v>24</v>
      </c>
      <c r="E37" s="37">
        <v>60700</v>
      </c>
      <c r="F37" s="27">
        <v>2007</v>
      </c>
      <c r="G37" s="13">
        <f>(556.8/525.4)*E37</f>
        <v>64327.674153026266</v>
      </c>
      <c r="H37" s="27">
        <v>1.3</v>
      </c>
      <c r="I37" s="13">
        <f t="shared" si="1"/>
        <v>83625.976398934145</v>
      </c>
    </row>
    <row r="38" spans="2:12">
      <c r="B38" s="1" t="s">
        <v>93</v>
      </c>
      <c r="E38" s="37">
        <v>3778800</v>
      </c>
      <c r="F38" s="27">
        <v>1998</v>
      </c>
      <c r="G38" s="13">
        <f>(556.8/389.5)*E38</f>
        <v>5401889.191270859</v>
      </c>
      <c r="H38" s="27">
        <v>1.3</v>
      </c>
      <c r="I38" s="13">
        <f t="shared" si="1"/>
        <v>7022455.9486521166</v>
      </c>
      <c r="K38" s="46" t="s">
        <v>71</v>
      </c>
      <c r="L38" s="46"/>
    </row>
    <row r="39" spans="2:12">
      <c r="B39" s="1" t="s">
        <v>22</v>
      </c>
      <c r="E39" s="37">
        <v>211500</v>
      </c>
      <c r="F39" s="27">
        <v>2007</v>
      </c>
      <c r="G39" s="13">
        <f>(556.8/525.4)*E39</f>
        <v>224140.08374571754</v>
      </c>
      <c r="H39" s="27">
        <v>1.6</v>
      </c>
      <c r="I39" s="13">
        <f t="shared" si="1"/>
        <v>358624.13399314811</v>
      </c>
    </row>
    <row r="40" spans="2:12">
      <c r="B40" s="1" t="s">
        <v>72</v>
      </c>
      <c r="E40" s="37">
        <v>97300</v>
      </c>
      <c r="F40" s="27">
        <v>2007</v>
      </c>
      <c r="G40" s="13">
        <f>(556.8/525.4)*E40</f>
        <v>103115.03616292348</v>
      </c>
      <c r="H40" s="27">
        <v>1.6</v>
      </c>
      <c r="I40" s="13">
        <f t="shared" si="1"/>
        <v>164984.0578606776</v>
      </c>
    </row>
    <row r="41" spans="2:12">
      <c r="B41" s="1" t="s">
        <v>73</v>
      </c>
      <c r="G41" s="13"/>
      <c r="H41" s="27">
        <v>1.6</v>
      </c>
      <c r="I41" s="13"/>
    </row>
    <row r="42" spans="2:12">
      <c r="B42" s="1" t="s">
        <v>74</v>
      </c>
      <c r="G42" s="13"/>
      <c r="H42" s="27">
        <v>1.6</v>
      </c>
      <c r="I42" s="13"/>
    </row>
    <row r="43" spans="2:12">
      <c r="B43" s="1" t="s">
        <v>94</v>
      </c>
      <c r="G43" s="13"/>
      <c r="H43" s="27">
        <v>1.6</v>
      </c>
      <c r="I43" s="13"/>
    </row>
    <row r="44" spans="2:12">
      <c r="B44" s="1" t="s">
        <v>95</v>
      </c>
      <c r="E44" s="37">
        <v>135400</v>
      </c>
      <c r="G44" s="13"/>
      <c r="I44" s="13">
        <v>525900</v>
      </c>
      <c r="K44" t="s">
        <v>33</v>
      </c>
    </row>
    <row r="45" spans="2:12">
      <c r="E45" s="37">
        <v>404000</v>
      </c>
      <c r="F45" s="27">
        <v>2007</v>
      </c>
      <c r="G45" s="13">
        <f>(556.8/525.4)*E45</f>
        <v>428144.65169394744</v>
      </c>
      <c r="H45" s="27">
        <v>1.5</v>
      </c>
      <c r="I45" s="13">
        <f t="shared" si="1"/>
        <v>642216.97754092119</v>
      </c>
      <c r="K45" s="47" t="s">
        <v>75</v>
      </c>
      <c r="L45" s="47"/>
    </row>
    <row r="46" spans="2:12">
      <c r="E46" s="37">
        <f>SUM(E19:E45)</f>
        <v>124919600</v>
      </c>
      <c r="G46" s="13">
        <f t="shared" ref="G46" si="2">(556.8/525.4)*E46</f>
        <v>132385293.6429387</v>
      </c>
      <c r="I46" s="13"/>
    </row>
    <row r="47" spans="2:12">
      <c r="B47" s="1" t="s">
        <v>37</v>
      </c>
      <c r="G47" s="13"/>
      <c r="I47" s="37">
        <f>SUM(I17:I45)</f>
        <v>237749328.07418129</v>
      </c>
    </row>
    <row r="48" spans="2:12">
      <c r="B48" s="1" t="s">
        <v>96</v>
      </c>
      <c r="D48" s="13">
        <f>I47</f>
        <v>237749328.07418129</v>
      </c>
      <c r="G48" s="13"/>
    </row>
    <row r="49" spans="2:7">
      <c r="B49" s="1" t="s">
        <v>97</v>
      </c>
      <c r="G49" s="13"/>
    </row>
    <row r="50" spans="2:7">
      <c r="B50" s="1" t="s">
        <v>98</v>
      </c>
    </row>
    <row r="51" spans="2:7">
      <c r="B51" s="1" t="s">
        <v>66</v>
      </c>
    </row>
    <row r="52" spans="2:7">
      <c r="B52" s="1" t="s">
        <v>99</v>
      </c>
      <c r="C52">
        <v>8.5000000000000006E-2</v>
      </c>
      <c r="D52" s="13">
        <f>C52*D48</f>
        <v>20208692.88630541</v>
      </c>
    </row>
    <row r="53" spans="2:7">
      <c r="C53">
        <v>0.1</v>
      </c>
      <c r="D53" s="13">
        <f>C53*D48</f>
        <v>23774932.80741813</v>
      </c>
    </row>
  </sheetData>
  <sortState ref="B18:K41">
    <sortCondition ref="B18:B41"/>
  </sortState>
  <customSheetViews>
    <customSheetView guid="{7DCB9960-08D5-4449-90C1-2359FB89137D}">
      <selection activeCell="G11" sqref="G11"/>
      <pageMargins left="0.7" right="0.7" top="0.75" bottom="0.75" header="0.3" footer="0.3"/>
      <pageSetup orientation="portrait" horizontalDpi="300" verticalDpi="0" r:id="rId1"/>
    </customSheetView>
  </customSheetViews>
  <mergeCells count="3">
    <mergeCell ref="J16:L16"/>
    <mergeCell ref="K38:L38"/>
    <mergeCell ref="K45:L45"/>
  </mergeCells>
  <pageMargins left="0.7" right="0.7" top="0.75" bottom="0.75" header="0.3" footer="0.3"/>
  <pageSetup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Y48"/>
  <sheetViews>
    <sheetView zoomScale="80" zoomScaleNormal="80" workbookViewId="0">
      <pane xSplit="2" ySplit="5" topLeftCell="C28" activePane="bottomRight" state="frozen"/>
      <selection pane="topRight" activeCell="C1" sqref="C1"/>
      <selection pane="bottomLeft" activeCell="A6" sqref="A6"/>
      <selection pane="bottomRight" activeCell="A56" sqref="A56"/>
    </sheetView>
  </sheetViews>
  <sheetFormatPr defaultRowHeight="15"/>
  <cols>
    <col min="1" max="1" width="15.5703125" customWidth="1"/>
    <col min="2" max="2" width="16.85546875" customWidth="1"/>
    <col min="3" max="4" width="15.85546875" customWidth="1"/>
    <col min="5" max="5" width="15.7109375" customWidth="1"/>
    <col min="6" max="6" width="16.140625" customWidth="1"/>
    <col min="7" max="7" width="17" customWidth="1"/>
    <col min="8" max="8" width="16.85546875" customWidth="1"/>
    <col min="9" max="9" width="18.28515625" customWidth="1"/>
    <col min="10" max="10" width="16.7109375" customWidth="1"/>
    <col min="11" max="11" width="16.85546875" customWidth="1"/>
    <col min="12" max="12" width="17.85546875" customWidth="1"/>
    <col min="13" max="13" width="16.85546875" customWidth="1"/>
    <col min="14" max="14" width="17.42578125" customWidth="1"/>
    <col min="15" max="16" width="16.85546875" customWidth="1"/>
    <col min="17" max="17" width="17.5703125" customWidth="1"/>
    <col min="18" max="18" width="17.140625" customWidth="1"/>
    <col min="19" max="19" width="16.85546875" customWidth="1"/>
    <col min="20" max="20" width="17.140625" customWidth="1"/>
    <col min="21" max="21" width="16.85546875" customWidth="1"/>
    <col min="22" max="23" width="16.7109375" customWidth="1"/>
    <col min="24" max="25" width="17.42578125" customWidth="1"/>
  </cols>
  <sheetData>
    <row r="3" spans="1:25">
      <c r="C3" s="15" t="s">
        <v>35</v>
      </c>
    </row>
    <row r="4" spans="1:25">
      <c r="C4" s="15"/>
    </row>
    <row r="5" spans="1:25">
      <c r="A5" t="s">
        <v>36</v>
      </c>
      <c r="B5">
        <v>0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20</v>
      </c>
      <c r="U5">
        <v>21</v>
      </c>
      <c r="V5">
        <v>22</v>
      </c>
      <c r="W5">
        <v>23</v>
      </c>
      <c r="X5">
        <v>24</v>
      </c>
      <c r="Y5">
        <v>25</v>
      </c>
    </row>
    <row r="7" spans="1:25">
      <c r="A7" s="15" t="s">
        <v>37</v>
      </c>
      <c r="B7" s="22">
        <f>-'Equipement List'!D48</f>
        <v>-237749328.07418129</v>
      </c>
      <c r="C7" s="16"/>
    </row>
    <row r="9" spans="1:25">
      <c r="A9" s="17" t="s">
        <v>38</v>
      </c>
    </row>
    <row r="11" spans="1:25">
      <c r="A11" t="s">
        <v>69</v>
      </c>
    </row>
    <row r="12" spans="1:25">
      <c r="A12" t="s">
        <v>70</v>
      </c>
      <c r="C12" s="43">
        <f>1650*150*350</f>
        <v>86625000</v>
      </c>
      <c r="D12" s="43">
        <f>C12*1.02</f>
        <v>88357500</v>
      </c>
      <c r="E12" s="43">
        <f t="shared" ref="E12:S12" si="0">D12*1.02</f>
        <v>90124650</v>
      </c>
      <c r="F12" s="43">
        <f t="shared" si="0"/>
        <v>91927143</v>
      </c>
      <c r="G12" s="43">
        <f t="shared" si="0"/>
        <v>93765685.859999999</v>
      </c>
      <c r="H12" s="43">
        <f t="shared" si="0"/>
        <v>95640999.577199996</v>
      </c>
      <c r="I12" s="43">
        <f t="shared" si="0"/>
        <v>97553819.568744004</v>
      </c>
      <c r="J12" s="43">
        <f t="shared" si="0"/>
        <v>99504895.96011889</v>
      </c>
      <c r="K12" s="43">
        <f t="shared" si="0"/>
        <v>101494993.87932126</v>
      </c>
      <c r="L12" s="43">
        <f t="shared" si="0"/>
        <v>103524893.75690769</v>
      </c>
      <c r="M12" s="43">
        <f t="shared" si="0"/>
        <v>105595391.63204584</v>
      </c>
      <c r="N12" s="43">
        <f t="shared" si="0"/>
        <v>107707299.46468675</v>
      </c>
      <c r="O12" s="43">
        <f t="shared" si="0"/>
        <v>109861445.45398049</v>
      </c>
      <c r="P12" s="43">
        <f t="shared" si="0"/>
        <v>112058674.3630601</v>
      </c>
      <c r="Q12" s="43">
        <f t="shared" si="0"/>
        <v>114299847.85032131</v>
      </c>
      <c r="R12" s="43">
        <f t="shared" si="0"/>
        <v>116585844.80732773</v>
      </c>
      <c r="S12" s="43">
        <f t="shared" si="0"/>
        <v>118917561.70347428</v>
      </c>
      <c r="T12" s="43">
        <f t="shared" ref="T12" si="1">S12*1.02</f>
        <v>121295912.93754376</v>
      </c>
      <c r="U12" s="43">
        <f t="shared" ref="U12" si="2">T12*1.02</f>
        <v>123721831.19629464</v>
      </c>
      <c r="V12" s="43">
        <f t="shared" ref="V12" si="3">U12*1.02</f>
        <v>126196267.82022053</v>
      </c>
      <c r="W12" s="43">
        <f t="shared" ref="W12" si="4">V12*1.02</f>
        <v>128720193.17662494</v>
      </c>
      <c r="X12" s="43">
        <f t="shared" ref="X12" si="5">W12*1.02</f>
        <v>131294597.04015744</v>
      </c>
      <c r="Y12" s="43">
        <f t="shared" ref="Y12" si="6">X12*1.02</f>
        <v>133920488.98096059</v>
      </c>
    </row>
    <row r="14" spans="1:25">
      <c r="A14" s="17" t="s">
        <v>41</v>
      </c>
    </row>
    <row r="16" spans="1:25" s="26" customFormat="1">
      <c r="A16" s="25" t="s">
        <v>42</v>
      </c>
    </row>
    <row r="17" spans="1:25">
      <c r="A17" s="23" t="s">
        <v>43</v>
      </c>
      <c r="B17" s="23"/>
      <c r="C17" s="41">
        <f t="shared" ref="C17:J17" si="7">IPMT(6%,C5,25,$B$7,0)</f>
        <v>14264959.684450876</v>
      </c>
      <c r="D17" s="41">
        <f t="shared" si="7"/>
        <v>14004956.283972943</v>
      </c>
      <c r="E17" s="41">
        <f t="shared" si="7"/>
        <v>13729352.679466331</v>
      </c>
      <c r="F17" s="41">
        <f t="shared" si="7"/>
        <v>13437212.858689323</v>
      </c>
      <c r="G17" s="41">
        <f t="shared" si="7"/>
        <v>13127544.648665696</v>
      </c>
      <c r="H17" s="41">
        <f t="shared" si="7"/>
        <v>12799296.346040647</v>
      </c>
      <c r="I17" s="41">
        <f t="shared" si="7"/>
        <v>12451353.145258101</v>
      </c>
      <c r="J17" s="41">
        <f t="shared" si="7"/>
        <v>12082533.352428598</v>
      </c>
      <c r="K17" s="41">
        <f t="shared" ref="K17:P17" si="8">IPMT(6%,K5,25,$B$7,0)</f>
        <v>11691584.372029327</v>
      </c>
      <c r="L17" s="41">
        <f t="shared" si="8"/>
        <v>11277178.4528061</v>
      </c>
      <c r="M17" s="41">
        <f t="shared" si="8"/>
        <v>10837908.178429481</v>
      </c>
      <c r="N17" s="41">
        <f t="shared" si="8"/>
        <v>10372281.68759026</v>
      </c>
      <c r="O17" s="41">
        <f t="shared" si="8"/>
        <v>9878717.6073006894</v>
      </c>
      <c r="P17" s="41">
        <f t="shared" si="8"/>
        <v>9355539.6821937412</v>
      </c>
      <c r="Q17" s="41">
        <f>IPMT(6%,Q5,25,$B$7,0)</f>
        <v>8800971.0815803781</v>
      </c>
      <c r="R17" s="41">
        <f t="shared" ref="R17" si="9">IPMT(6%,R5,25,$B$7,0)</f>
        <v>8213128.3649302125</v>
      </c>
      <c r="S17" s="41">
        <f>IPMT(6%,S5,25,$B$7,0)</f>
        <v>7590015.0852810396</v>
      </c>
      <c r="T17" s="41">
        <f t="shared" ref="T17:Y17" si="10">IPMT(6%,T5,25,$B$7,0)</f>
        <v>5487247.0419644667</v>
      </c>
      <c r="U17" s="41">
        <f t="shared" si="10"/>
        <v>4700580.8829373382</v>
      </c>
      <c r="V17" s="41">
        <f t="shared" si="10"/>
        <v>3866714.7543685841</v>
      </c>
      <c r="W17" s="41">
        <f t="shared" si="10"/>
        <v>2982816.6580857178</v>
      </c>
      <c r="X17" s="41">
        <f t="shared" si="10"/>
        <v>2045884.6760258675</v>
      </c>
      <c r="Y17" s="41">
        <f t="shared" si="10"/>
        <v>1052736.7750424407</v>
      </c>
    </row>
    <row r="18" spans="1:25">
      <c r="A18" s="23" t="s">
        <v>45</v>
      </c>
      <c r="B18" s="23"/>
      <c r="C18" s="24">
        <f>'Equipement List'!I8</f>
        <v>1874885.04</v>
      </c>
      <c r="D18" s="23">
        <f>1.02*C18</f>
        <v>1912382.7408</v>
      </c>
      <c r="E18" s="23">
        <f t="shared" ref="E18:S18" si="11">1.02*D18</f>
        <v>1950630.3956160001</v>
      </c>
      <c r="F18" s="23">
        <f t="shared" si="11"/>
        <v>1989643.00352832</v>
      </c>
      <c r="G18" s="23">
        <f t="shared" si="11"/>
        <v>2029435.8635988864</v>
      </c>
      <c r="H18" s="23">
        <f t="shared" si="11"/>
        <v>2070024.5808708642</v>
      </c>
      <c r="I18" s="23">
        <f t="shared" si="11"/>
        <v>2111425.0724882814</v>
      </c>
      <c r="J18" s="23">
        <f t="shared" si="11"/>
        <v>2153653.573938047</v>
      </c>
      <c r="K18" s="23">
        <f t="shared" si="11"/>
        <v>2196726.6454168078</v>
      </c>
      <c r="L18" s="23">
        <f t="shared" si="11"/>
        <v>2240661.1783251441</v>
      </c>
      <c r="M18" s="23">
        <f t="shared" si="11"/>
        <v>2285474.4018916469</v>
      </c>
      <c r="N18" s="23">
        <f t="shared" si="11"/>
        <v>2331183.8899294799</v>
      </c>
      <c r="O18" s="23">
        <f t="shared" si="11"/>
        <v>2377807.5677280696</v>
      </c>
      <c r="P18" s="23">
        <f t="shared" si="11"/>
        <v>2425363.7190826312</v>
      </c>
      <c r="Q18" s="23">
        <f t="shared" si="11"/>
        <v>2473870.9934642836</v>
      </c>
      <c r="R18" s="23">
        <f t="shared" si="11"/>
        <v>2523348.4133335692</v>
      </c>
      <c r="S18" s="23">
        <f t="shared" si="11"/>
        <v>2573815.3816002407</v>
      </c>
      <c r="T18" s="23">
        <f t="shared" ref="T18:T20" si="12">1.02*S18</f>
        <v>2625291.6892322456</v>
      </c>
      <c r="U18" s="23">
        <f t="shared" ref="U18:U20" si="13">1.02*T18</f>
        <v>2677797.5230168905</v>
      </c>
      <c r="V18" s="23">
        <f t="shared" ref="V18:V20" si="14">1.02*U18</f>
        <v>2731353.4734772285</v>
      </c>
      <c r="W18" s="23">
        <f t="shared" ref="W18:W20" si="15">1.02*V18</f>
        <v>2785980.5429467731</v>
      </c>
      <c r="X18" s="23">
        <f t="shared" ref="X18:X20" si="16">1.02*W18</f>
        <v>2841700.1538057085</v>
      </c>
      <c r="Y18" s="23">
        <f t="shared" ref="Y18:Y20" si="17">1.02*X18</f>
        <v>2898534.1568818227</v>
      </c>
    </row>
    <row r="19" spans="1:25">
      <c r="A19" s="23" t="s">
        <v>46</v>
      </c>
      <c r="B19" s="23"/>
      <c r="C19" s="23">
        <v>300000</v>
      </c>
      <c r="D19" s="23">
        <f t="shared" ref="D19:S20" si="18">1.02*C19</f>
        <v>306000</v>
      </c>
      <c r="E19" s="23">
        <f t="shared" si="18"/>
        <v>312120</v>
      </c>
      <c r="F19" s="23">
        <f t="shared" si="18"/>
        <v>318362.40000000002</v>
      </c>
      <c r="G19" s="23">
        <f t="shared" si="18"/>
        <v>324729.64800000004</v>
      </c>
      <c r="H19" s="23">
        <f t="shared" si="18"/>
        <v>331224.24096000002</v>
      </c>
      <c r="I19" s="23">
        <f t="shared" si="18"/>
        <v>337848.72577920003</v>
      </c>
      <c r="J19" s="23">
        <f t="shared" si="18"/>
        <v>344605.70029478404</v>
      </c>
      <c r="K19" s="23">
        <f t="shared" si="18"/>
        <v>351497.81430067972</v>
      </c>
      <c r="L19" s="23">
        <f t="shared" si="18"/>
        <v>358527.77058669331</v>
      </c>
      <c r="M19" s="23">
        <f t="shared" si="18"/>
        <v>365698.32599842717</v>
      </c>
      <c r="N19" s="23">
        <f t="shared" si="18"/>
        <v>373012.2925183957</v>
      </c>
      <c r="O19" s="23">
        <f t="shared" si="18"/>
        <v>380472.53836876363</v>
      </c>
      <c r="P19" s="23">
        <f t="shared" si="18"/>
        <v>388081.98913613893</v>
      </c>
      <c r="Q19" s="23">
        <f t="shared" si="18"/>
        <v>395843.62891886174</v>
      </c>
      <c r="R19" s="23">
        <f t="shared" si="18"/>
        <v>403760.50149723899</v>
      </c>
      <c r="S19" s="23">
        <f t="shared" si="18"/>
        <v>411835.71152718377</v>
      </c>
      <c r="T19" s="23">
        <f t="shared" si="12"/>
        <v>420072.42575772747</v>
      </c>
      <c r="U19" s="23">
        <f t="shared" si="13"/>
        <v>428473.87427288201</v>
      </c>
      <c r="V19" s="23">
        <f t="shared" si="14"/>
        <v>437043.35175833968</v>
      </c>
      <c r="W19" s="23">
        <f t="shared" si="15"/>
        <v>445784.2187935065</v>
      </c>
      <c r="X19" s="23">
        <f t="shared" si="16"/>
        <v>454699.90316937666</v>
      </c>
      <c r="Y19" s="23">
        <f t="shared" si="17"/>
        <v>463793.90123276418</v>
      </c>
    </row>
    <row r="20" spans="1:25">
      <c r="A20" s="23" t="s">
        <v>47</v>
      </c>
      <c r="B20" s="23"/>
      <c r="C20" s="23">
        <v>60000</v>
      </c>
      <c r="D20" s="23">
        <f t="shared" si="18"/>
        <v>61200</v>
      </c>
      <c r="E20" s="23">
        <f t="shared" si="18"/>
        <v>62424</v>
      </c>
      <c r="F20" s="23">
        <f t="shared" si="18"/>
        <v>63672.480000000003</v>
      </c>
      <c r="G20" s="23">
        <f t="shared" si="18"/>
        <v>64945.929600000003</v>
      </c>
      <c r="H20" s="23">
        <f t="shared" si="18"/>
        <v>66244.848192000005</v>
      </c>
      <c r="I20" s="23">
        <f t="shared" si="18"/>
        <v>67569.745155840006</v>
      </c>
      <c r="J20" s="23">
        <f t="shared" si="18"/>
        <v>68921.140058956807</v>
      </c>
      <c r="K20" s="23">
        <f t="shared" si="18"/>
        <v>70299.562860135949</v>
      </c>
      <c r="L20" s="23">
        <f t="shared" si="18"/>
        <v>71705.554117338674</v>
      </c>
      <c r="M20" s="23">
        <f t="shared" si="18"/>
        <v>73139.665199685449</v>
      </c>
      <c r="N20" s="23">
        <f t="shared" si="18"/>
        <v>74602.458503679154</v>
      </c>
      <c r="O20" s="23">
        <f t="shared" si="18"/>
        <v>76094.507673752742</v>
      </c>
      <c r="P20" s="23">
        <f t="shared" si="18"/>
        <v>77616.397827227804</v>
      </c>
      <c r="Q20" s="23">
        <f t="shared" si="18"/>
        <v>79168.725783772359</v>
      </c>
      <c r="R20" s="23">
        <f t="shared" si="18"/>
        <v>80752.100299447804</v>
      </c>
      <c r="S20" s="23">
        <f t="shared" si="18"/>
        <v>82367.142305436762</v>
      </c>
      <c r="T20" s="23">
        <f t="shared" si="12"/>
        <v>84014.485151545494</v>
      </c>
      <c r="U20" s="23">
        <f t="shared" si="13"/>
        <v>85694.774854576404</v>
      </c>
      <c r="V20" s="23">
        <f t="shared" si="14"/>
        <v>87408.670351667941</v>
      </c>
      <c r="W20" s="23">
        <f t="shared" si="15"/>
        <v>89156.843758701303</v>
      </c>
      <c r="X20" s="23">
        <f t="shared" si="16"/>
        <v>90939.980633875326</v>
      </c>
      <c r="Y20" s="23">
        <f t="shared" si="17"/>
        <v>92758.780246552837</v>
      </c>
    </row>
    <row r="21" spans="1:25"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</row>
    <row r="22" spans="1:25">
      <c r="A22" t="s">
        <v>48</v>
      </c>
      <c r="C22" s="23">
        <v>2941176</v>
      </c>
      <c r="D22" s="23">
        <v>2941176</v>
      </c>
      <c r="E22" s="23">
        <v>2941176</v>
      </c>
      <c r="F22" s="23">
        <v>2941176</v>
      </c>
      <c r="G22" s="23">
        <v>2941176</v>
      </c>
      <c r="H22" s="23">
        <v>2941176</v>
      </c>
      <c r="I22" s="23">
        <v>2941176</v>
      </c>
      <c r="J22" s="23">
        <v>2941176</v>
      </c>
      <c r="K22" s="23">
        <v>2941176</v>
      </c>
      <c r="L22" s="23">
        <v>2941176</v>
      </c>
      <c r="M22" s="23">
        <v>2941176</v>
      </c>
      <c r="N22" s="23">
        <v>2941176</v>
      </c>
      <c r="O22" s="23">
        <v>2941176</v>
      </c>
      <c r="P22" s="23">
        <v>2941176</v>
      </c>
      <c r="Q22" s="23">
        <v>2941176</v>
      </c>
      <c r="R22" s="23">
        <v>2941176</v>
      </c>
      <c r="S22" s="23">
        <v>2941176</v>
      </c>
      <c r="T22" s="23">
        <v>2941177</v>
      </c>
      <c r="U22" s="23">
        <v>2941178</v>
      </c>
      <c r="V22" s="23">
        <v>2941179</v>
      </c>
      <c r="W22" s="23">
        <v>2941180</v>
      </c>
      <c r="X22" s="23">
        <v>2941181</v>
      </c>
      <c r="Y22" s="23">
        <v>2941182</v>
      </c>
    </row>
    <row r="23" spans="1:25">
      <c r="A23" t="s">
        <v>49</v>
      </c>
      <c r="C23" s="23">
        <v>3113600</v>
      </c>
      <c r="D23" s="23">
        <f>1.03*C23</f>
        <v>3207008</v>
      </c>
      <c r="E23" s="23">
        <f t="shared" ref="E23:S23" si="19">1.03*D23</f>
        <v>3303218.24</v>
      </c>
      <c r="F23" s="23">
        <f t="shared" si="19"/>
        <v>3402314.7872000001</v>
      </c>
      <c r="G23" s="23">
        <f t="shared" si="19"/>
        <v>3504384.2308160001</v>
      </c>
      <c r="H23" s="23">
        <f t="shared" si="19"/>
        <v>3609515.7577404804</v>
      </c>
      <c r="I23" s="23">
        <f t="shared" si="19"/>
        <v>3717801.2304726951</v>
      </c>
      <c r="J23" s="23">
        <f t="shared" si="19"/>
        <v>3829335.267386876</v>
      </c>
      <c r="K23" s="23">
        <f t="shared" si="19"/>
        <v>3944215.3254084825</v>
      </c>
      <c r="L23" s="23">
        <f t="shared" si="19"/>
        <v>4062541.7851707372</v>
      </c>
      <c r="M23" s="23">
        <f t="shared" si="19"/>
        <v>4184418.0387258595</v>
      </c>
      <c r="N23" s="23">
        <f t="shared" si="19"/>
        <v>4309950.5798876351</v>
      </c>
      <c r="O23" s="23">
        <f t="shared" si="19"/>
        <v>4439249.0972842639</v>
      </c>
      <c r="P23" s="23">
        <f t="shared" si="19"/>
        <v>4572426.5702027921</v>
      </c>
      <c r="Q23" s="23">
        <f t="shared" si="19"/>
        <v>4709599.3673088755</v>
      </c>
      <c r="R23" s="23">
        <f t="shared" si="19"/>
        <v>4850887.3483281415</v>
      </c>
      <c r="S23" s="23">
        <f t="shared" si="19"/>
        <v>4996413.9687779862</v>
      </c>
      <c r="T23" s="23">
        <f t="shared" ref="T23" si="20">1.03*S23</f>
        <v>5146306.3878413262</v>
      </c>
      <c r="U23" s="23">
        <f t="shared" ref="U23" si="21">1.03*T23</f>
        <v>5300695.5794765661</v>
      </c>
      <c r="V23" s="23">
        <f t="shared" ref="V23" si="22">1.03*U23</f>
        <v>5459716.4468608629</v>
      </c>
      <c r="W23" s="23">
        <f t="shared" ref="W23" si="23">1.03*V23</f>
        <v>5623507.9402666893</v>
      </c>
      <c r="X23" s="23">
        <f t="shared" ref="X23" si="24">1.03*W23</f>
        <v>5792213.1784746898</v>
      </c>
      <c r="Y23" s="23">
        <f t="shared" ref="Y23" si="25">1.03*X23</f>
        <v>5965979.573828931</v>
      </c>
    </row>
    <row r="24" spans="1:25"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</row>
    <row r="25" spans="1:25">
      <c r="A25" t="s">
        <v>50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</row>
    <row r="26" spans="1:25">
      <c r="A26" t="s">
        <v>51</v>
      </c>
      <c r="C26" s="24">
        <f>-0.03*B7</f>
        <v>7132479.842225438</v>
      </c>
      <c r="D26" s="23">
        <f>1.02*C26</f>
        <v>7275129.4390699472</v>
      </c>
      <c r="E26" s="23">
        <f t="shared" ref="E26:S26" si="26">1.02*D26</f>
        <v>7420632.0278513459</v>
      </c>
      <c r="F26" s="23">
        <f t="shared" si="26"/>
        <v>7569044.6684083734</v>
      </c>
      <c r="G26" s="23">
        <f t="shared" si="26"/>
        <v>7720425.5617765412</v>
      </c>
      <c r="H26" s="23">
        <f t="shared" si="26"/>
        <v>7874834.0730120726</v>
      </c>
      <c r="I26" s="23">
        <f t="shared" si="26"/>
        <v>8032330.7544723144</v>
      </c>
      <c r="J26" s="23">
        <f t="shared" si="26"/>
        <v>8192977.3695617607</v>
      </c>
      <c r="K26" s="23">
        <f t="shared" si="26"/>
        <v>8356836.9169529956</v>
      </c>
      <c r="L26" s="23">
        <f t="shared" si="26"/>
        <v>8523973.6552920565</v>
      </c>
      <c r="M26" s="23">
        <f t="shared" si="26"/>
        <v>8694453.1283978969</v>
      </c>
      <c r="N26" s="23">
        <f t="shared" si="26"/>
        <v>8868342.1909658555</v>
      </c>
      <c r="O26" s="23">
        <f t="shared" si="26"/>
        <v>9045709.034785172</v>
      </c>
      <c r="P26" s="23">
        <f t="shared" si="26"/>
        <v>9226623.2154808752</v>
      </c>
      <c r="Q26" s="23">
        <f t="shared" si="26"/>
        <v>9411155.6797904931</v>
      </c>
      <c r="R26" s="23">
        <f t="shared" si="26"/>
        <v>9599378.7933863029</v>
      </c>
      <c r="S26" s="23">
        <f t="shared" si="26"/>
        <v>9791366.3692540284</v>
      </c>
      <c r="T26" s="23">
        <f t="shared" ref="T26" si="27">1.02*S26</f>
        <v>9987193.6966391094</v>
      </c>
      <c r="U26" s="23">
        <f t="shared" ref="U26" si="28">1.02*T26</f>
        <v>10186937.570571892</v>
      </c>
      <c r="V26" s="23">
        <f t="shared" ref="V26" si="29">1.02*U26</f>
        <v>10390676.32198333</v>
      </c>
      <c r="W26" s="23">
        <f t="shared" ref="W26" si="30">1.02*V26</f>
        <v>10598489.848422997</v>
      </c>
      <c r="X26" s="23">
        <f t="shared" ref="X26" si="31">1.02*W26</f>
        <v>10810459.645391457</v>
      </c>
      <c r="Y26" s="23">
        <f t="shared" ref="Y26" si="32">1.02*X26</f>
        <v>11026668.838299286</v>
      </c>
    </row>
    <row r="27" spans="1:25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</row>
    <row r="28" spans="1:25">
      <c r="A28" t="s">
        <v>0</v>
      </c>
      <c r="C28" s="24">
        <f>'Equipement List'!I9</f>
        <v>33377909.039999999</v>
      </c>
      <c r="D28" s="23">
        <f>1.02*C28</f>
        <v>34045467.220799997</v>
      </c>
      <c r="E28" s="23">
        <f t="shared" ref="E28:S28" si="33">1.02*D28</f>
        <v>34726376.565215997</v>
      </c>
      <c r="F28" s="23">
        <f t="shared" si="33"/>
        <v>35420904.09652032</v>
      </c>
      <c r="G28" s="23">
        <f t="shared" si="33"/>
        <v>36129322.178450726</v>
      </c>
      <c r="H28" s="23">
        <f t="shared" si="33"/>
        <v>36851908.622019738</v>
      </c>
      <c r="I28" s="23">
        <f t="shared" si="33"/>
        <v>37588946.794460133</v>
      </c>
      <c r="J28" s="23">
        <f t="shared" si="33"/>
        <v>38340725.73034934</v>
      </c>
      <c r="K28" s="23">
        <f t="shared" si="33"/>
        <v>39107540.244956329</v>
      </c>
      <c r="L28" s="23">
        <f t="shared" si="33"/>
        <v>39889691.049855456</v>
      </c>
      <c r="M28" s="23">
        <f t="shared" si="33"/>
        <v>40687484.870852567</v>
      </c>
      <c r="N28" s="23">
        <f t="shared" si="33"/>
        <v>41501234.568269618</v>
      </c>
      <c r="O28" s="23">
        <f t="shared" si="33"/>
        <v>42331259.259635009</v>
      </c>
      <c r="P28" s="23">
        <f t="shared" si="33"/>
        <v>43177884.444827713</v>
      </c>
      <c r="Q28" s="23">
        <f t="shared" si="33"/>
        <v>44041442.133724265</v>
      </c>
      <c r="R28" s="23">
        <f t="shared" si="33"/>
        <v>44922270.976398751</v>
      </c>
      <c r="S28" s="23">
        <f t="shared" si="33"/>
        <v>45820716.395926729</v>
      </c>
      <c r="T28" s="23">
        <f t="shared" ref="T28" si="34">1.02*S28</f>
        <v>46737130.723845266</v>
      </c>
      <c r="U28" s="23">
        <f t="shared" ref="U28" si="35">1.02*T28</f>
        <v>47671873.33832217</v>
      </c>
      <c r="V28" s="23">
        <f t="shared" ref="V28" si="36">1.02*U28</f>
        <v>48625310.805088617</v>
      </c>
      <c r="W28" s="23">
        <f t="shared" ref="W28" si="37">1.02*V28</f>
        <v>49597817.02119039</v>
      </c>
      <c r="X28" s="23">
        <f t="shared" ref="X28" si="38">1.02*W28</f>
        <v>50589773.361614197</v>
      </c>
      <c r="Y28" s="23">
        <f t="shared" ref="Y28" si="39">1.02*X28</f>
        <v>51601568.828846484</v>
      </c>
    </row>
    <row r="29" spans="1:25"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</row>
    <row r="30" spans="1:25">
      <c r="A30" s="19" t="s">
        <v>52</v>
      </c>
      <c r="C30" s="42">
        <f t="shared" ref="C30:S30" si="40">SUM(C17:C29)</f>
        <v>63065009.60667631</v>
      </c>
      <c r="D30" s="43">
        <f t="shared" si="40"/>
        <v>63753319.684642889</v>
      </c>
      <c r="E30" s="43">
        <f t="shared" si="40"/>
        <v>64445929.908149675</v>
      </c>
      <c r="F30" s="43">
        <f t="shared" si="40"/>
        <v>65142330.29434634</v>
      </c>
      <c r="G30" s="43">
        <f t="shared" si="40"/>
        <v>65841964.060907848</v>
      </c>
      <c r="H30" s="43">
        <f t="shared" si="40"/>
        <v>66544224.468835801</v>
      </c>
      <c r="I30" s="43">
        <f t="shared" si="40"/>
        <v>67248451.468086571</v>
      </c>
      <c r="J30" s="43">
        <f t="shared" si="40"/>
        <v>67953928.134018362</v>
      </c>
      <c r="K30" s="43">
        <f t="shared" si="40"/>
        <v>68659876.881924748</v>
      </c>
      <c r="L30" s="43">
        <f t="shared" si="40"/>
        <v>69365455.446153522</v>
      </c>
      <c r="M30" s="43">
        <f t="shared" si="40"/>
        <v>70069752.609495565</v>
      </c>
      <c r="N30" s="43">
        <f t="shared" si="40"/>
        <v>70771783.667664915</v>
      </c>
      <c r="O30" s="43">
        <f t="shared" si="40"/>
        <v>71470485.612775713</v>
      </c>
      <c r="P30" s="43">
        <f t="shared" si="40"/>
        <v>72164712.018751115</v>
      </c>
      <c r="Q30" s="43">
        <f t="shared" si="40"/>
        <v>72853227.610570937</v>
      </c>
      <c r="R30" s="43">
        <f t="shared" si="40"/>
        <v>73534702.498173654</v>
      </c>
      <c r="S30" s="43">
        <f t="shared" si="40"/>
        <v>74207706.054672644</v>
      </c>
      <c r="T30" s="43">
        <f t="shared" ref="T30" si="41">SUM(T17:T29)</f>
        <v>73428433.45043169</v>
      </c>
      <c r="U30" s="43">
        <f t="shared" ref="U30" si="42">SUM(U17:U29)</f>
        <v>73993231.543452322</v>
      </c>
      <c r="V30" s="43">
        <f t="shared" ref="V30" si="43">SUM(V17:V29)</f>
        <v>74539402.82388863</v>
      </c>
      <c r="W30" s="43">
        <f t="shared" ref="W30" si="44">SUM(W17:W29)</f>
        <v>75064733.073464781</v>
      </c>
      <c r="X30" s="43">
        <f t="shared" ref="X30" si="45">SUM(X17:X29)</f>
        <v>75566851.899115175</v>
      </c>
      <c r="Y30" s="43">
        <f t="shared" ref="Y30" si="46">SUM(Y17:Y29)</f>
        <v>76043222.854378283</v>
      </c>
    </row>
    <row r="31" spans="1:25"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</row>
    <row r="32" spans="1:25">
      <c r="A32" t="s">
        <v>53</v>
      </c>
      <c r="C32" s="24">
        <f t="shared" ref="C32:S32" si="47">C12-C30</f>
        <v>23559990.39332369</v>
      </c>
      <c r="D32" s="23">
        <f t="shared" si="47"/>
        <v>24604180.315357111</v>
      </c>
      <c r="E32" s="23">
        <f t="shared" si="47"/>
        <v>25678720.091850325</v>
      </c>
      <c r="F32" s="23">
        <f t="shared" si="47"/>
        <v>26784812.70565366</v>
      </c>
      <c r="G32" s="23">
        <f t="shared" si="47"/>
        <v>27923721.799092151</v>
      </c>
      <c r="H32" s="23">
        <f t="shared" si="47"/>
        <v>29096775.108364195</v>
      </c>
      <c r="I32" s="23">
        <f t="shared" si="47"/>
        <v>30305368.100657433</v>
      </c>
      <c r="J32" s="23">
        <f t="shared" si="47"/>
        <v>31550967.826100528</v>
      </c>
      <c r="K32" s="23">
        <f t="shared" si="47"/>
        <v>32835116.997396514</v>
      </c>
      <c r="L32" s="23">
        <f t="shared" si="47"/>
        <v>34159438.310754165</v>
      </c>
      <c r="M32" s="23">
        <f t="shared" si="47"/>
        <v>35525639.02255027</v>
      </c>
      <c r="N32" s="23">
        <f t="shared" si="47"/>
        <v>36935515.797021836</v>
      </c>
      <c r="O32" s="23">
        <f t="shared" si="47"/>
        <v>38390959.841204777</v>
      </c>
      <c r="P32" s="23">
        <f t="shared" si="47"/>
        <v>39893962.344308987</v>
      </c>
      <c r="Q32" s="23">
        <f t="shared" si="47"/>
        <v>41446620.23975037</v>
      </c>
      <c r="R32" s="23">
        <f t="shared" si="47"/>
        <v>43051142.309154078</v>
      </c>
      <c r="S32" s="23">
        <f t="shared" si="47"/>
        <v>44709855.64880164</v>
      </c>
      <c r="T32" s="23">
        <f t="shared" ref="T32:Y32" si="48">T12-T30</f>
        <v>47867479.487112075</v>
      </c>
      <c r="U32" s="23">
        <f t="shared" si="48"/>
        <v>49728599.652842313</v>
      </c>
      <c r="V32" s="23">
        <f t="shared" si="48"/>
        <v>51656864.9963319</v>
      </c>
      <c r="W32" s="23">
        <f t="shared" si="48"/>
        <v>53655460.103160158</v>
      </c>
      <c r="X32" s="23">
        <f t="shared" si="48"/>
        <v>55727745.141042262</v>
      </c>
      <c r="Y32" s="23">
        <f t="shared" si="48"/>
        <v>57877266.12658231</v>
      </c>
    </row>
    <row r="33" spans="1:25"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</row>
    <row r="34" spans="1:25">
      <c r="A34" t="s">
        <v>54</v>
      </c>
      <c r="C34" s="24">
        <f>C32*0.4</f>
        <v>9423996.1573294755</v>
      </c>
      <c r="D34" s="23">
        <f t="shared" ref="D34:S34" si="49">D32*0.4</f>
        <v>9841672.1261428446</v>
      </c>
      <c r="E34" s="23">
        <f t="shared" si="49"/>
        <v>10271488.036740132</v>
      </c>
      <c r="F34" s="23">
        <f t="shared" si="49"/>
        <v>10713925.082261465</v>
      </c>
      <c r="G34" s="23">
        <f t="shared" si="49"/>
        <v>11169488.719636861</v>
      </c>
      <c r="H34" s="23">
        <f t="shared" si="49"/>
        <v>11638710.043345679</v>
      </c>
      <c r="I34" s="23">
        <f t="shared" si="49"/>
        <v>12122147.240262974</v>
      </c>
      <c r="J34" s="23">
        <f t="shared" si="49"/>
        <v>12620387.130440213</v>
      </c>
      <c r="K34" s="23">
        <f t="shared" si="49"/>
        <v>13134046.798958607</v>
      </c>
      <c r="L34" s="23">
        <f t="shared" si="49"/>
        <v>13663775.324301668</v>
      </c>
      <c r="M34" s="23">
        <f t="shared" si="49"/>
        <v>14210255.609020108</v>
      </c>
      <c r="N34" s="23">
        <f t="shared" si="49"/>
        <v>14774206.318808734</v>
      </c>
      <c r="O34" s="23">
        <f t="shared" si="49"/>
        <v>15356383.936481912</v>
      </c>
      <c r="P34" s="23">
        <f t="shared" si="49"/>
        <v>15957584.937723596</v>
      </c>
      <c r="Q34" s="23">
        <f t="shared" si="49"/>
        <v>16578648.095900148</v>
      </c>
      <c r="R34" s="23">
        <f t="shared" si="49"/>
        <v>17220456.923661631</v>
      </c>
      <c r="S34" s="23">
        <f t="shared" si="49"/>
        <v>17883942.259520657</v>
      </c>
      <c r="T34" s="23">
        <f t="shared" ref="T34:Y34" si="50">T32*0.4</f>
        <v>19146991.794844832</v>
      </c>
      <c r="U34" s="23">
        <f t="shared" si="50"/>
        <v>19891439.861136924</v>
      </c>
      <c r="V34" s="23">
        <f t="shared" si="50"/>
        <v>20662745.998532761</v>
      </c>
      <c r="W34" s="23">
        <f t="shared" si="50"/>
        <v>21462184.041264065</v>
      </c>
      <c r="X34" s="23">
        <f t="shared" si="50"/>
        <v>22291098.056416906</v>
      </c>
      <c r="Y34" s="23">
        <f t="shared" si="50"/>
        <v>23150906.450632926</v>
      </c>
    </row>
    <row r="35" spans="1:25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25">
      <c r="A36" t="s">
        <v>55</v>
      </c>
      <c r="C36" s="24">
        <f>C32-C34</f>
        <v>14135994.235994214</v>
      </c>
      <c r="D36" s="23">
        <f t="shared" ref="D36:S36" si="51">D32-D34</f>
        <v>14762508.189214267</v>
      </c>
      <c r="E36" s="23">
        <f t="shared" si="51"/>
        <v>15407232.055110194</v>
      </c>
      <c r="F36" s="23">
        <f t="shared" si="51"/>
        <v>16070887.623392195</v>
      </c>
      <c r="G36" s="23">
        <f t="shared" si="51"/>
        <v>16754233.07945529</v>
      </c>
      <c r="H36" s="23">
        <f t="shared" si="51"/>
        <v>17458065.065018516</v>
      </c>
      <c r="I36" s="23">
        <f t="shared" si="51"/>
        <v>18183220.860394459</v>
      </c>
      <c r="J36" s="23">
        <f t="shared" si="51"/>
        <v>18930580.695660315</v>
      </c>
      <c r="K36" s="23">
        <f t="shared" si="51"/>
        <v>19701070.198437907</v>
      </c>
      <c r="L36" s="23">
        <f t="shared" si="51"/>
        <v>20495662.986452498</v>
      </c>
      <c r="M36" s="23">
        <f t="shared" si="51"/>
        <v>21315383.413530163</v>
      </c>
      <c r="N36" s="23">
        <f t="shared" si="51"/>
        <v>22161309.478213102</v>
      </c>
      <c r="O36" s="23">
        <f t="shared" si="51"/>
        <v>23034575.904722866</v>
      </c>
      <c r="P36" s="23">
        <f t="shared" si="51"/>
        <v>23936377.406585392</v>
      </c>
      <c r="Q36" s="23">
        <f t="shared" si="51"/>
        <v>24867972.143850222</v>
      </c>
      <c r="R36" s="23">
        <f t="shared" si="51"/>
        <v>25830685.385492448</v>
      </c>
      <c r="S36" s="23">
        <f t="shared" si="51"/>
        <v>26825913.389280982</v>
      </c>
      <c r="T36" s="23">
        <f t="shared" ref="T36:Y36" si="52">T32-T34</f>
        <v>28720487.692267243</v>
      </c>
      <c r="U36" s="23">
        <f t="shared" si="52"/>
        <v>29837159.791705389</v>
      </c>
      <c r="V36" s="23">
        <f t="shared" si="52"/>
        <v>30994118.997799139</v>
      </c>
      <c r="W36" s="23">
        <f t="shared" si="52"/>
        <v>32193276.061896093</v>
      </c>
      <c r="X36" s="23">
        <f t="shared" si="52"/>
        <v>33436647.084625356</v>
      </c>
      <c r="Y36" s="23">
        <f t="shared" si="52"/>
        <v>34726359.67594938</v>
      </c>
    </row>
    <row r="37" spans="1:25"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</row>
    <row r="38" spans="1:25">
      <c r="A38" t="s">
        <v>56</v>
      </c>
      <c r="C38" s="23">
        <f>C22</f>
        <v>2941176</v>
      </c>
      <c r="D38" s="23">
        <f t="shared" ref="D38:S38" si="53">D22</f>
        <v>2941176</v>
      </c>
      <c r="E38" s="23">
        <f t="shared" si="53"/>
        <v>2941176</v>
      </c>
      <c r="F38" s="23">
        <f t="shared" si="53"/>
        <v>2941176</v>
      </c>
      <c r="G38" s="23">
        <f t="shared" si="53"/>
        <v>2941176</v>
      </c>
      <c r="H38" s="23">
        <f t="shared" si="53"/>
        <v>2941176</v>
      </c>
      <c r="I38" s="23">
        <f t="shared" si="53"/>
        <v>2941176</v>
      </c>
      <c r="J38" s="23">
        <f t="shared" si="53"/>
        <v>2941176</v>
      </c>
      <c r="K38" s="23">
        <f t="shared" si="53"/>
        <v>2941176</v>
      </c>
      <c r="L38" s="23">
        <f t="shared" si="53"/>
        <v>2941176</v>
      </c>
      <c r="M38" s="23">
        <f t="shared" si="53"/>
        <v>2941176</v>
      </c>
      <c r="N38" s="23">
        <f t="shared" si="53"/>
        <v>2941176</v>
      </c>
      <c r="O38" s="23">
        <f t="shared" si="53"/>
        <v>2941176</v>
      </c>
      <c r="P38" s="23">
        <f t="shared" si="53"/>
        <v>2941176</v>
      </c>
      <c r="Q38" s="23">
        <f t="shared" si="53"/>
        <v>2941176</v>
      </c>
      <c r="R38" s="23">
        <f t="shared" si="53"/>
        <v>2941176</v>
      </c>
      <c r="S38" s="23">
        <f t="shared" si="53"/>
        <v>2941176</v>
      </c>
      <c r="T38" s="23">
        <f t="shared" ref="T38:Y38" si="54">T22</f>
        <v>2941177</v>
      </c>
      <c r="U38" s="23">
        <f t="shared" si="54"/>
        <v>2941178</v>
      </c>
      <c r="V38" s="23">
        <f t="shared" si="54"/>
        <v>2941179</v>
      </c>
      <c r="W38" s="23">
        <f t="shared" si="54"/>
        <v>2941180</v>
      </c>
      <c r="X38" s="23">
        <f t="shared" si="54"/>
        <v>2941181</v>
      </c>
      <c r="Y38" s="23">
        <f t="shared" si="54"/>
        <v>2941182</v>
      </c>
    </row>
    <row r="39" spans="1:25"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</row>
    <row r="40" spans="1:25">
      <c r="A40" t="s">
        <v>57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</row>
    <row r="41" spans="1:25">
      <c r="A41" t="s">
        <v>58</v>
      </c>
      <c r="B41" s="16">
        <f>B7</f>
        <v>-237749328.07418129</v>
      </c>
      <c r="C41" s="24">
        <f>C36+C38</f>
        <v>17077170.235994212</v>
      </c>
      <c r="D41" s="23">
        <f t="shared" ref="D41:S41" si="55">D36+D38</f>
        <v>17703684.189214267</v>
      </c>
      <c r="E41" s="23">
        <f t="shared" si="55"/>
        <v>18348408.055110194</v>
      </c>
      <c r="F41" s="23">
        <f t="shared" si="55"/>
        <v>19012063.623392195</v>
      </c>
      <c r="G41" s="23">
        <f t="shared" si="55"/>
        <v>19695409.07945529</v>
      </c>
      <c r="H41" s="23">
        <f t="shared" si="55"/>
        <v>20399241.065018516</v>
      </c>
      <c r="I41" s="23">
        <f t="shared" si="55"/>
        <v>21124396.860394459</v>
      </c>
      <c r="J41" s="23">
        <f t="shared" si="55"/>
        <v>21871756.695660315</v>
      </c>
      <c r="K41" s="23">
        <f t="shared" si="55"/>
        <v>22642246.198437907</v>
      </c>
      <c r="L41" s="23">
        <f t="shared" si="55"/>
        <v>23436838.986452498</v>
      </c>
      <c r="M41" s="23">
        <f t="shared" si="55"/>
        <v>24256559.413530163</v>
      </c>
      <c r="N41" s="23">
        <f t="shared" si="55"/>
        <v>25102485.478213102</v>
      </c>
      <c r="O41" s="23">
        <f t="shared" si="55"/>
        <v>25975751.904722866</v>
      </c>
      <c r="P41" s="23">
        <f t="shared" si="55"/>
        <v>26877553.406585392</v>
      </c>
      <c r="Q41" s="23">
        <f t="shared" si="55"/>
        <v>27809148.143850222</v>
      </c>
      <c r="R41" s="23">
        <f t="shared" si="55"/>
        <v>28771861.385492448</v>
      </c>
      <c r="S41" s="23">
        <f t="shared" si="55"/>
        <v>29767089.389280982</v>
      </c>
      <c r="T41" s="23">
        <f t="shared" ref="T41:Y41" si="56">T36+T38</f>
        <v>31661664.692267243</v>
      </c>
      <c r="U41" s="23">
        <f t="shared" si="56"/>
        <v>32778337.791705389</v>
      </c>
      <c r="V41" s="23">
        <f t="shared" si="56"/>
        <v>33935297.997799143</v>
      </c>
      <c r="W41" s="23">
        <f t="shared" si="56"/>
        <v>35134456.061896093</v>
      </c>
      <c r="X41" s="23">
        <f t="shared" si="56"/>
        <v>36377828.084625356</v>
      </c>
      <c r="Y41" s="23">
        <f t="shared" si="56"/>
        <v>37667541.67594938</v>
      </c>
    </row>
    <row r="42" spans="1:25"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</row>
    <row r="43" spans="1:25">
      <c r="A43" t="s">
        <v>59</v>
      </c>
      <c r="C43" s="24">
        <f>C41</f>
        <v>17077170.235994212</v>
      </c>
      <c r="D43" s="23">
        <f t="shared" ref="D43:M43" si="57">C43+D41</f>
        <v>34780854.425208479</v>
      </c>
      <c r="E43" s="23">
        <f t="shared" si="57"/>
        <v>53129262.480318673</v>
      </c>
      <c r="F43" s="23">
        <f t="shared" si="57"/>
        <v>72141326.10371086</v>
      </c>
      <c r="G43" s="23">
        <f t="shared" si="57"/>
        <v>91836735.183166146</v>
      </c>
      <c r="H43" s="23">
        <f t="shared" si="57"/>
        <v>112235976.24818467</v>
      </c>
      <c r="I43" s="23">
        <f t="shared" si="57"/>
        <v>133360373.10857913</v>
      </c>
      <c r="J43" s="23">
        <f t="shared" si="57"/>
        <v>155232129.80423945</v>
      </c>
      <c r="K43" s="23">
        <f t="shared" si="57"/>
        <v>177874376.00267735</v>
      </c>
      <c r="L43" s="23">
        <f t="shared" si="57"/>
        <v>201311214.98912984</v>
      </c>
      <c r="M43" s="23">
        <f t="shared" si="57"/>
        <v>225567774.40266001</v>
      </c>
      <c r="N43" s="23">
        <f t="shared" ref="N43" si="58">M43+N41</f>
        <v>250670259.88087311</v>
      </c>
      <c r="O43" s="23">
        <f t="shared" ref="O43" si="59">N43+O41</f>
        <v>276646011.78559595</v>
      </c>
      <c r="P43" s="23">
        <f t="shared" ref="P43" si="60">O43+P41</f>
        <v>303523565.19218135</v>
      </c>
      <c r="Q43" s="23">
        <f t="shared" ref="Q43" si="61">P43+Q41</f>
        <v>331332713.33603156</v>
      </c>
      <c r="R43" s="23">
        <f t="shared" ref="R43" si="62">Q43+R41</f>
        <v>360104574.721524</v>
      </c>
      <c r="S43" s="23">
        <f t="shared" ref="S43" si="63">R43+S41</f>
        <v>389871664.11080498</v>
      </c>
      <c r="T43" s="23">
        <f t="shared" ref="T43" si="64">S43+T41</f>
        <v>421533328.80307221</v>
      </c>
      <c r="U43" s="23">
        <f t="shared" ref="U43" si="65">T43+U41</f>
        <v>454311666.59477758</v>
      </c>
      <c r="V43" s="23">
        <f t="shared" ref="V43" si="66">U43+V41</f>
        <v>488246964.59257674</v>
      </c>
      <c r="W43" s="23">
        <f t="shared" ref="W43" si="67">V43+W41</f>
        <v>523381420.65447283</v>
      </c>
      <c r="X43" s="23">
        <f t="shared" ref="X43" si="68">W43+X41</f>
        <v>559759248.73909819</v>
      </c>
      <c r="Y43" s="23">
        <f t="shared" ref="Y43" si="69">X43+Y41</f>
        <v>597426790.41504753</v>
      </c>
    </row>
    <row r="44" spans="1:25">
      <c r="F44" t="s">
        <v>60</v>
      </c>
    </row>
    <row r="45" spans="1:25">
      <c r="A45" t="s">
        <v>61</v>
      </c>
      <c r="B45" s="21">
        <f>NPV(B48,B41:S41)</f>
        <v>-38287930.501018733</v>
      </c>
      <c r="C45" s="12"/>
    </row>
    <row r="46" spans="1:25">
      <c r="A46" t="s">
        <v>62</v>
      </c>
      <c r="B46" s="14">
        <f>IRR(B41:S41,0.11)</f>
        <v>5.5325021356765848E-2</v>
      </c>
    </row>
    <row r="47" spans="1:25">
      <c r="B47" s="14"/>
    </row>
    <row r="48" spans="1:25">
      <c r="A48" t="s">
        <v>63</v>
      </c>
      <c r="B48" s="14">
        <v>0.08</v>
      </c>
    </row>
  </sheetData>
  <customSheetViews>
    <customSheetView guid="{7DCB9960-08D5-4449-90C1-2359FB89137D}" topLeftCell="A11">
      <selection activeCell="C29" sqref="C29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7"/>
  <sheetViews>
    <sheetView workbookViewId="0">
      <selection activeCell="E4" activeCellId="1" sqref="C15 C1:E4"/>
    </sheetView>
  </sheetViews>
  <sheetFormatPr defaultRowHeight="15"/>
  <cols>
    <col min="2" max="2" width="12.28515625" customWidth="1"/>
    <col min="3" max="4" width="13.140625" customWidth="1"/>
    <col min="5" max="5" width="14.140625" customWidth="1"/>
    <col min="6" max="6" width="10.140625" customWidth="1"/>
    <col min="7" max="8" width="11.7109375" customWidth="1"/>
    <col min="9" max="9" width="11.85546875" customWidth="1"/>
    <col min="10" max="10" width="11.7109375" customWidth="1"/>
    <col min="11" max="11" width="11.140625" customWidth="1"/>
    <col min="12" max="12" width="11.5703125" customWidth="1"/>
    <col min="13" max="13" width="10.140625" customWidth="1"/>
    <col min="14" max="14" width="10.85546875" customWidth="1"/>
    <col min="15" max="15" width="11.28515625" customWidth="1"/>
    <col min="16" max="16" width="11.140625" customWidth="1"/>
    <col min="17" max="17" width="10.28515625" customWidth="1"/>
    <col min="18" max="18" width="10.85546875" customWidth="1"/>
    <col min="19" max="19" width="10.7109375" customWidth="1"/>
  </cols>
  <sheetData>
    <row r="1" spans="1:19">
      <c r="C1" s="15" t="s">
        <v>35</v>
      </c>
    </row>
    <row r="2" spans="1:19">
      <c r="C2" s="15"/>
    </row>
    <row r="3" spans="1:19">
      <c r="A3" t="s">
        <v>36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5" spans="1:19">
      <c r="A5" s="15" t="s">
        <v>37</v>
      </c>
      <c r="B5" s="16">
        <v>-50000000</v>
      </c>
      <c r="C5" s="16"/>
    </row>
    <row r="7" spans="1:19">
      <c r="A7" s="17" t="s">
        <v>38</v>
      </c>
    </row>
    <row r="9" spans="1:19">
      <c r="A9" t="s">
        <v>39</v>
      </c>
    </row>
    <row r="10" spans="1:19">
      <c r="A10" t="s">
        <v>40</v>
      </c>
      <c r="C10" s="18">
        <v>50000000</v>
      </c>
      <c r="D10" s="18">
        <f>C10*1.02</f>
        <v>51000000</v>
      </c>
      <c r="E10" s="18">
        <f t="shared" ref="E10:S10" si="0">D10*1.02</f>
        <v>52020000</v>
      </c>
      <c r="F10" s="18">
        <f t="shared" si="0"/>
        <v>53060400</v>
      </c>
      <c r="G10" s="18">
        <f t="shared" si="0"/>
        <v>54121608</v>
      </c>
      <c r="H10" s="18">
        <f t="shared" si="0"/>
        <v>55204040.160000004</v>
      </c>
      <c r="I10" s="18">
        <f t="shared" si="0"/>
        <v>56308120.963200003</v>
      </c>
      <c r="J10" s="18">
        <f t="shared" si="0"/>
        <v>57434283.382464007</v>
      </c>
      <c r="K10" s="18">
        <f t="shared" si="0"/>
        <v>58582969.050113291</v>
      </c>
      <c r="L10" s="18">
        <f t="shared" si="0"/>
        <v>59754628.43111556</v>
      </c>
      <c r="M10" s="18">
        <f t="shared" si="0"/>
        <v>60949720.999737874</v>
      </c>
      <c r="N10" s="18">
        <f t="shared" si="0"/>
        <v>62168715.41973263</v>
      </c>
      <c r="O10" s="18">
        <f t="shared" si="0"/>
        <v>63412089.728127286</v>
      </c>
      <c r="P10" s="18">
        <f t="shared" si="0"/>
        <v>64680331.522689834</v>
      </c>
      <c r="Q10" s="18">
        <f t="shared" si="0"/>
        <v>65973938.153143629</v>
      </c>
      <c r="R10" s="18">
        <f t="shared" si="0"/>
        <v>67293416.916206509</v>
      </c>
      <c r="S10" s="18">
        <f t="shared" si="0"/>
        <v>68639285.254530638</v>
      </c>
    </row>
    <row r="12" spans="1:19">
      <c r="A12" s="17" t="s">
        <v>41</v>
      </c>
    </row>
    <row r="14" spans="1:19">
      <c r="A14" s="19" t="s">
        <v>42</v>
      </c>
    </row>
    <row r="15" spans="1:19">
      <c r="A15" t="s">
        <v>43</v>
      </c>
      <c r="C15" s="20">
        <f>IPMT(0.06,C3,17,$B$7,0)</f>
        <v>0</v>
      </c>
      <c r="D15" s="20">
        <f t="shared" ref="D15:S15" si="1">IPMT(0.06,D3,17,$B$7,0)</f>
        <v>0</v>
      </c>
      <c r="E15" s="20">
        <f t="shared" si="1"/>
        <v>0</v>
      </c>
      <c r="F15" s="20">
        <f t="shared" si="1"/>
        <v>0</v>
      </c>
      <c r="G15" s="20">
        <f t="shared" si="1"/>
        <v>0</v>
      </c>
      <c r="H15" s="20">
        <f t="shared" si="1"/>
        <v>0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0">
        <f t="shared" si="1"/>
        <v>0</v>
      </c>
      <c r="P15" s="20">
        <f t="shared" si="1"/>
        <v>0</v>
      </c>
      <c r="Q15" s="20">
        <f t="shared" si="1"/>
        <v>0</v>
      </c>
      <c r="R15" s="20">
        <f t="shared" si="1"/>
        <v>0</v>
      </c>
      <c r="S15" s="20">
        <f t="shared" si="1"/>
        <v>0</v>
      </c>
    </row>
    <row r="16" spans="1:19">
      <c r="A16" t="s">
        <v>44</v>
      </c>
      <c r="C16" s="16">
        <v>13432806</v>
      </c>
      <c r="D16" s="16">
        <f>C16*1.03</f>
        <v>13835790.18</v>
      </c>
      <c r="E16" s="16">
        <f t="shared" ref="E16:S16" si="2">D16*1.03</f>
        <v>14250863.885400001</v>
      </c>
      <c r="F16" s="16">
        <f t="shared" si="2"/>
        <v>14678389.801962001</v>
      </c>
      <c r="G16" s="16">
        <f t="shared" si="2"/>
        <v>15118741.496020861</v>
      </c>
      <c r="H16" s="16">
        <f t="shared" si="2"/>
        <v>15572303.740901487</v>
      </c>
      <c r="I16" s="16">
        <f t="shared" si="2"/>
        <v>16039472.853128532</v>
      </c>
      <c r="J16" s="16">
        <f t="shared" si="2"/>
        <v>16520657.038722388</v>
      </c>
      <c r="K16" s="16">
        <f t="shared" si="2"/>
        <v>17016276.749884062</v>
      </c>
      <c r="L16" s="16">
        <f t="shared" si="2"/>
        <v>17526765.052380584</v>
      </c>
      <c r="M16" s="16">
        <f t="shared" si="2"/>
        <v>18052568.003952004</v>
      </c>
      <c r="N16" s="16">
        <f t="shared" si="2"/>
        <v>18594145.044070564</v>
      </c>
      <c r="O16" s="16">
        <f t="shared" si="2"/>
        <v>19151969.395392682</v>
      </c>
      <c r="P16" s="16">
        <f t="shared" si="2"/>
        <v>19726528.477254465</v>
      </c>
      <c r="Q16" s="16">
        <f t="shared" si="2"/>
        <v>20318324.331572101</v>
      </c>
      <c r="R16" s="16">
        <f t="shared" si="2"/>
        <v>20927874.061519265</v>
      </c>
      <c r="S16" s="16">
        <f t="shared" si="2"/>
        <v>21555710.283364844</v>
      </c>
    </row>
    <row r="17" spans="1:19">
      <c r="A17" t="s">
        <v>45</v>
      </c>
      <c r="C17" s="16">
        <v>116000</v>
      </c>
      <c r="D17" s="16">
        <f>1.02*C17</f>
        <v>118320</v>
      </c>
      <c r="E17" s="16">
        <f t="shared" ref="E17:S17" si="3">1.02*D17</f>
        <v>120686.40000000001</v>
      </c>
      <c r="F17" s="16">
        <f t="shared" si="3"/>
        <v>123100.12800000001</v>
      </c>
      <c r="G17" s="16">
        <f t="shared" si="3"/>
        <v>125562.13056000002</v>
      </c>
      <c r="H17" s="16">
        <f t="shared" si="3"/>
        <v>128073.37317120002</v>
      </c>
      <c r="I17" s="16">
        <f t="shared" si="3"/>
        <v>130634.84063462402</v>
      </c>
      <c r="J17" s="16">
        <f t="shared" si="3"/>
        <v>133247.53744731651</v>
      </c>
      <c r="K17" s="16">
        <f t="shared" si="3"/>
        <v>135912.48819626286</v>
      </c>
      <c r="L17" s="16">
        <f t="shared" si="3"/>
        <v>138630.73796018813</v>
      </c>
      <c r="M17" s="16">
        <f t="shared" si="3"/>
        <v>141403.3527193919</v>
      </c>
      <c r="N17" s="16">
        <f t="shared" si="3"/>
        <v>144231.41977377975</v>
      </c>
      <c r="O17" s="16">
        <f t="shared" si="3"/>
        <v>147116.04816925534</v>
      </c>
      <c r="P17" s="16">
        <f t="shared" si="3"/>
        <v>150058.36913264045</v>
      </c>
      <c r="Q17" s="16">
        <f t="shared" si="3"/>
        <v>153059.53651529326</v>
      </c>
      <c r="R17" s="16">
        <f t="shared" si="3"/>
        <v>156120.72724559912</v>
      </c>
      <c r="S17" s="16">
        <f t="shared" si="3"/>
        <v>159243.14179051112</v>
      </c>
    </row>
    <row r="18" spans="1:19">
      <c r="A18" t="s">
        <v>46</v>
      </c>
      <c r="C18" s="16">
        <v>300000</v>
      </c>
      <c r="D18" s="16">
        <f t="shared" ref="D18:S19" si="4">1.02*C18</f>
        <v>306000</v>
      </c>
      <c r="E18" s="16">
        <f t="shared" si="4"/>
        <v>312120</v>
      </c>
      <c r="F18" s="16">
        <f t="shared" si="4"/>
        <v>318362.40000000002</v>
      </c>
      <c r="G18" s="16">
        <f t="shared" si="4"/>
        <v>324729.64800000004</v>
      </c>
      <c r="H18" s="16">
        <f t="shared" si="4"/>
        <v>331224.24096000002</v>
      </c>
      <c r="I18" s="16">
        <f t="shared" si="4"/>
        <v>337848.72577920003</v>
      </c>
      <c r="J18" s="16">
        <f t="shared" si="4"/>
        <v>344605.70029478404</v>
      </c>
      <c r="K18" s="16">
        <f t="shared" si="4"/>
        <v>351497.81430067972</v>
      </c>
      <c r="L18" s="16">
        <f t="shared" si="4"/>
        <v>358527.77058669331</v>
      </c>
      <c r="M18" s="16">
        <f t="shared" si="4"/>
        <v>365698.32599842717</v>
      </c>
      <c r="N18" s="16">
        <f t="shared" si="4"/>
        <v>373012.2925183957</v>
      </c>
      <c r="O18" s="16">
        <f t="shared" si="4"/>
        <v>380472.53836876363</v>
      </c>
      <c r="P18" s="16">
        <f t="shared" si="4"/>
        <v>388081.98913613893</v>
      </c>
      <c r="Q18" s="16">
        <f t="shared" si="4"/>
        <v>395843.62891886174</v>
      </c>
      <c r="R18" s="16">
        <f t="shared" si="4"/>
        <v>403760.50149723899</v>
      </c>
      <c r="S18" s="16">
        <f t="shared" si="4"/>
        <v>411835.71152718377</v>
      </c>
    </row>
    <row r="19" spans="1:19">
      <c r="A19" t="s">
        <v>47</v>
      </c>
      <c r="C19" s="16">
        <v>60000</v>
      </c>
      <c r="D19" s="16">
        <f t="shared" si="4"/>
        <v>61200</v>
      </c>
      <c r="E19" s="16">
        <f t="shared" si="4"/>
        <v>62424</v>
      </c>
      <c r="F19" s="16">
        <f t="shared" si="4"/>
        <v>63672.480000000003</v>
      </c>
      <c r="G19" s="16">
        <f t="shared" si="4"/>
        <v>64945.929600000003</v>
      </c>
      <c r="H19" s="16">
        <f t="shared" si="4"/>
        <v>66244.848192000005</v>
      </c>
      <c r="I19" s="16">
        <f t="shared" si="4"/>
        <v>67569.745155840006</v>
      </c>
      <c r="J19" s="16">
        <f t="shared" si="4"/>
        <v>68921.140058956807</v>
      </c>
      <c r="K19" s="16">
        <f t="shared" si="4"/>
        <v>70299.562860135949</v>
      </c>
      <c r="L19" s="16">
        <f t="shared" si="4"/>
        <v>71705.554117338674</v>
      </c>
      <c r="M19" s="16">
        <f t="shared" si="4"/>
        <v>73139.665199685449</v>
      </c>
      <c r="N19" s="16">
        <f t="shared" si="4"/>
        <v>74602.458503679154</v>
      </c>
      <c r="O19" s="16">
        <f t="shared" si="4"/>
        <v>76094.507673752742</v>
      </c>
      <c r="P19" s="16">
        <f t="shared" si="4"/>
        <v>77616.397827227804</v>
      </c>
      <c r="Q19" s="16">
        <f t="shared" si="4"/>
        <v>79168.725783772359</v>
      </c>
      <c r="R19" s="16">
        <f t="shared" si="4"/>
        <v>80752.100299447804</v>
      </c>
      <c r="S19" s="16">
        <f t="shared" si="4"/>
        <v>82367.142305436762</v>
      </c>
    </row>
    <row r="20" spans="1:19"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spans="1:19">
      <c r="A21" t="s">
        <v>48</v>
      </c>
      <c r="C21" s="16">
        <v>2941176</v>
      </c>
      <c r="D21" s="16">
        <v>2941176</v>
      </c>
      <c r="E21" s="16">
        <v>2941176</v>
      </c>
      <c r="F21" s="16">
        <v>2941176</v>
      </c>
      <c r="G21" s="16">
        <v>2941176</v>
      </c>
      <c r="H21" s="16">
        <v>2941176</v>
      </c>
      <c r="I21" s="16">
        <v>2941176</v>
      </c>
      <c r="J21" s="16">
        <v>2941176</v>
      </c>
      <c r="K21" s="16">
        <v>2941176</v>
      </c>
      <c r="L21" s="16">
        <v>2941176</v>
      </c>
      <c r="M21" s="16">
        <v>2941176</v>
      </c>
      <c r="N21" s="16">
        <v>2941176</v>
      </c>
      <c r="O21" s="16">
        <v>2941176</v>
      </c>
      <c r="P21" s="16">
        <v>2941176</v>
      </c>
      <c r="Q21" s="16">
        <v>2941176</v>
      </c>
      <c r="R21" s="16">
        <v>2941176</v>
      </c>
      <c r="S21" s="16">
        <v>2941176</v>
      </c>
    </row>
    <row r="22" spans="1:19">
      <c r="A22" t="s">
        <v>49</v>
      </c>
      <c r="C22" s="16">
        <v>3113600</v>
      </c>
      <c r="D22" s="16">
        <f>1.03*C22</f>
        <v>3207008</v>
      </c>
      <c r="E22" s="16">
        <f t="shared" ref="E22:S22" si="5">1.03*D22</f>
        <v>3303218.24</v>
      </c>
      <c r="F22" s="16">
        <f t="shared" si="5"/>
        <v>3402314.7872000001</v>
      </c>
      <c r="G22" s="16">
        <f t="shared" si="5"/>
        <v>3504384.2308160001</v>
      </c>
      <c r="H22" s="16">
        <f t="shared" si="5"/>
        <v>3609515.7577404804</v>
      </c>
      <c r="I22" s="16">
        <f t="shared" si="5"/>
        <v>3717801.2304726951</v>
      </c>
      <c r="J22" s="16">
        <f t="shared" si="5"/>
        <v>3829335.267386876</v>
      </c>
      <c r="K22" s="16">
        <f t="shared" si="5"/>
        <v>3944215.3254084825</v>
      </c>
      <c r="L22" s="16">
        <f t="shared" si="5"/>
        <v>4062541.7851707372</v>
      </c>
      <c r="M22" s="16">
        <f t="shared" si="5"/>
        <v>4184418.0387258595</v>
      </c>
      <c r="N22" s="16">
        <f t="shared" si="5"/>
        <v>4309950.5798876351</v>
      </c>
      <c r="O22" s="16">
        <f t="shared" si="5"/>
        <v>4439249.0972842639</v>
      </c>
      <c r="P22" s="16">
        <f t="shared" si="5"/>
        <v>4572426.5702027921</v>
      </c>
      <c r="Q22" s="16">
        <f t="shared" si="5"/>
        <v>4709599.3673088755</v>
      </c>
      <c r="R22" s="16">
        <f t="shared" si="5"/>
        <v>4850887.3483281415</v>
      </c>
      <c r="S22" s="16">
        <f t="shared" si="5"/>
        <v>4996413.9687779862</v>
      </c>
    </row>
    <row r="23" spans="1:19"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19">
      <c r="A24" t="s">
        <v>50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19">
      <c r="A25" t="s">
        <v>51</v>
      </c>
      <c r="C25" s="16">
        <f>-0.03*B5</f>
        <v>1500000</v>
      </c>
      <c r="D25" s="16">
        <f>1.02*C25</f>
        <v>1530000</v>
      </c>
      <c r="E25" s="16">
        <f t="shared" ref="E25:S25" si="6">1.02*D25</f>
        <v>1560600</v>
      </c>
      <c r="F25" s="16">
        <f t="shared" si="6"/>
        <v>1591812</v>
      </c>
      <c r="G25" s="16">
        <f t="shared" si="6"/>
        <v>1623648.24</v>
      </c>
      <c r="H25" s="16">
        <f t="shared" si="6"/>
        <v>1656121.2047999999</v>
      </c>
      <c r="I25" s="16">
        <f t="shared" si="6"/>
        <v>1689243.6288959999</v>
      </c>
      <c r="J25" s="16">
        <f t="shared" si="6"/>
        <v>1723028.50147392</v>
      </c>
      <c r="K25" s="16">
        <f t="shared" si="6"/>
        <v>1757489.0715033985</v>
      </c>
      <c r="L25" s="16">
        <f t="shared" si="6"/>
        <v>1792638.8529334664</v>
      </c>
      <c r="M25" s="16">
        <f t="shared" si="6"/>
        <v>1828491.6299921358</v>
      </c>
      <c r="N25" s="16">
        <f t="shared" si="6"/>
        <v>1865061.4625919785</v>
      </c>
      <c r="O25" s="16">
        <f t="shared" si="6"/>
        <v>1902362.6918438182</v>
      </c>
      <c r="P25" s="16">
        <f t="shared" si="6"/>
        <v>1940409.9456806947</v>
      </c>
      <c r="Q25" s="16">
        <f t="shared" si="6"/>
        <v>1979218.1445943087</v>
      </c>
      <c r="R25" s="16">
        <f t="shared" si="6"/>
        <v>2018802.5074861948</v>
      </c>
      <c r="S25" s="16">
        <f t="shared" si="6"/>
        <v>2059178.5576359187</v>
      </c>
    </row>
    <row r="26" spans="1:19"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</row>
    <row r="27" spans="1:19">
      <c r="A27" t="s">
        <v>0</v>
      </c>
      <c r="C27" s="16">
        <v>10000000</v>
      </c>
      <c r="D27" s="16">
        <f>1.02*C27</f>
        <v>10200000</v>
      </c>
      <c r="E27" s="16">
        <f t="shared" ref="E27:S27" si="7">1.02*D27</f>
        <v>10404000</v>
      </c>
      <c r="F27" s="16">
        <f t="shared" si="7"/>
        <v>10612080</v>
      </c>
      <c r="G27" s="16">
        <f t="shared" si="7"/>
        <v>10824321.6</v>
      </c>
      <c r="H27" s="16">
        <f t="shared" si="7"/>
        <v>11040808.032</v>
      </c>
      <c r="I27" s="16">
        <f t="shared" si="7"/>
        <v>11261624.192639999</v>
      </c>
      <c r="J27" s="16">
        <f t="shared" si="7"/>
        <v>11486856.676492799</v>
      </c>
      <c r="K27" s="16">
        <f t="shared" si="7"/>
        <v>11716593.810022656</v>
      </c>
      <c r="L27" s="16">
        <f t="shared" si="7"/>
        <v>11950925.686223108</v>
      </c>
      <c r="M27" s="16">
        <f t="shared" si="7"/>
        <v>12189944.199947571</v>
      </c>
      <c r="N27" s="16">
        <f t="shared" si="7"/>
        <v>12433743.083946522</v>
      </c>
      <c r="O27" s="16">
        <f t="shared" si="7"/>
        <v>12682417.945625452</v>
      </c>
      <c r="P27" s="16">
        <f t="shared" si="7"/>
        <v>12936066.304537961</v>
      </c>
      <c r="Q27" s="16">
        <f t="shared" si="7"/>
        <v>13194787.63062872</v>
      </c>
      <c r="R27" s="16">
        <f t="shared" si="7"/>
        <v>13458683.383241294</v>
      </c>
      <c r="S27" s="16">
        <f t="shared" si="7"/>
        <v>13727857.05090612</v>
      </c>
    </row>
    <row r="29" spans="1:19">
      <c r="A29" s="19" t="s">
        <v>52</v>
      </c>
      <c r="C29" s="18">
        <f>SUM(C15:C28)</f>
        <v>31463582</v>
      </c>
      <c r="D29" s="18">
        <f t="shared" ref="D29:S29" si="8">SUM(D15:D28)</f>
        <v>32199494.18</v>
      </c>
      <c r="E29" s="18">
        <f t="shared" si="8"/>
        <v>32955088.525400005</v>
      </c>
      <c r="F29" s="18">
        <f t="shared" si="8"/>
        <v>33730907.597162008</v>
      </c>
      <c r="G29" s="18">
        <f t="shared" si="8"/>
        <v>34527509.274996854</v>
      </c>
      <c r="H29" s="18">
        <f t="shared" si="8"/>
        <v>35345467.197765164</v>
      </c>
      <c r="I29" s="18">
        <f t="shared" si="8"/>
        <v>36185371.216706887</v>
      </c>
      <c r="J29" s="18">
        <f t="shared" si="8"/>
        <v>37047827.861877039</v>
      </c>
      <c r="K29" s="18">
        <f t="shared" si="8"/>
        <v>37933460.822175667</v>
      </c>
      <c r="L29" s="18">
        <f t="shared" si="8"/>
        <v>38842911.439372115</v>
      </c>
      <c r="M29" s="18">
        <f t="shared" si="8"/>
        <v>39776839.216535076</v>
      </c>
      <c r="N29" s="18">
        <f t="shared" si="8"/>
        <v>40735922.34129256</v>
      </c>
      <c r="O29" s="18">
        <f t="shared" si="8"/>
        <v>41720858.224357992</v>
      </c>
      <c r="P29" s="18">
        <f t="shared" si="8"/>
        <v>42732364.053771921</v>
      </c>
      <c r="Q29" s="18">
        <f t="shared" si="8"/>
        <v>43771177.365321934</v>
      </c>
      <c r="R29" s="18">
        <f t="shared" si="8"/>
        <v>44838056.629617184</v>
      </c>
      <c r="S29" s="18">
        <f t="shared" si="8"/>
        <v>45933781.856308006</v>
      </c>
    </row>
    <row r="31" spans="1:19">
      <c r="A31" t="s">
        <v>53</v>
      </c>
      <c r="C31" s="16">
        <f>C10-C29</f>
        <v>18536418</v>
      </c>
      <c r="D31" s="16">
        <f t="shared" ref="D31:S31" si="9">D10-D29</f>
        <v>18800505.82</v>
      </c>
      <c r="E31" s="16">
        <f t="shared" si="9"/>
        <v>19064911.474599995</v>
      </c>
      <c r="F31" s="16">
        <f t="shared" si="9"/>
        <v>19329492.402837992</v>
      </c>
      <c r="G31" s="16">
        <f t="shared" si="9"/>
        <v>19594098.725003146</v>
      </c>
      <c r="H31" s="16">
        <f t="shared" si="9"/>
        <v>19858572.96223484</v>
      </c>
      <c r="I31" s="16">
        <f t="shared" si="9"/>
        <v>20122749.746493116</v>
      </c>
      <c r="J31" s="16">
        <f t="shared" si="9"/>
        <v>20386455.520586967</v>
      </c>
      <c r="K31" s="16">
        <f t="shared" si="9"/>
        <v>20649508.227937624</v>
      </c>
      <c r="L31" s="16">
        <f t="shared" si="9"/>
        <v>20911716.991743445</v>
      </c>
      <c r="M31" s="16">
        <f t="shared" si="9"/>
        <v>21172881.783202797</v>
      </c>
      <c r="N31" s="16">
        <f t="shared" si="9"/>
        <v>21432793.07844007</v>
      </c>
      <c r="O31" s="16">
        <f t="shared" si="9"/>
        <v>21691231.503769293</v>
      </c>
      <c r="P31" s="16">
        <f t="shared" si="9"/>
        <v>21947967.468917914</v>
      </c>
      <c r="Q31" s="16">
        <f t="shared" si="9"/>
        <v>22202760.787821695</v>
      </c>
      <c r="R31" s="16">
        <f t="shared" si="9"/>
        <v>22455360.286589324</v>
      </c>
      <c r="S31" s="16">
        <f t="shared" si="9"/>
        <v>22705503.398222633</v>
      </c>
    </row>
    <row r="33" spans="1:19">
      <c r="A33" t="s">
        <v>54</v>
      </c>
      <c r="C33" s="16">
        <f>C31*0.4</f>
        <v>7414567.2000000002</v>
      </c>
      <c r="D33" s="16">
        <f t="shared" ref="D33:S33" si="10">D31*0.4</f>
        <v>7520202.3280000007</v>
      </c>
      <c r="E33" s="16">
        <f t="shared" si="10"/>
        <v>7625964.5898399986</v>
      </c>
      <c r="F33" s="16">
        <f t="shared" si="10"/>
        <v>7731796.9611351974</v>
      </c>
      <c r="G33" s="16">
        <f t="shared" si="10"/>
        <v>7837639.4900012584</v>
      </c>
      <c r="H33" s="16">
        <f t="shared" si="10"/>
        <v>7943429.1848939359</v>
      </c>
      <c r="I33" s="16">
        <f t="shared" si="10"/>
        <v>8049099.898597247</v>
      </c>
      <c r="J33" s="16">
        <f t="shared" si="10"/>
        <v>8154582.208234787</v>
      </c>
      <c r="K33" s="16">
        <f t="shared" si="10"/>
        <v>8259803.2911750497</v>
      </c>
      <c r="L33" s="16">
        <f t="shared" si="10"/>
        <v>8364686.7966973782</v>
      </c>
      <c r="M33" s="16">
        <f t="shared" si="10"/>
        <v>8469152.7132811192</v>
      </c>
      <c r="N33" s="16">
        <f t="shared" si="10"/>
        <v>8573117.2313760277</v>
      </c>
      <c r="O33" s="16">
        <f t="shared" si="10"/>
        <v>8676492.6015077177</v>
      </c>
      <c r="P33" s="16">
        <f t="shared" si="10"/>
        <v>8779186.9875671659</v>
      </c>
      <c r="Q33" s="16">
        <f t="shared" si="10"/>
        <v>8881104.3151286785</v>
      </c>
      <c r="R33" s="16">
        <f t="shared" si="10"/>
        <v>8982144.1146357302</v>
      </c>
      <c r="S33" s="16">
        <f t="shared" si="10"/>
        <v>9082201.3592890538</v>
      </c>
    </row>
    <row r="35" spans="1:19">
      <c r="A35" t="s">
        <v>55</v>
      </c>
      <c r="C35" s="16">
        <f>C31-C33</f>
        <v>11121850.800000001</v>
      </c>
      <c r="D35" s="16">
        <f t="shared" ref="D35:S35" si="11">D31-D33</f>
        <v>11280303.491999999</v>
      </c>
      <c r="E35" s="16">
        <f t="shared" si="11"/>
        <v>11438946.884759996</v>
      </c>
      <c r="F35" s="16">
        <f t="shared" si="11"/>
        <v>11597695.441702794</v>
      </c>
      <c r="G35" s="16">
        <f t="shared" si="11"/>
        <v>11756459.235001888</v>
      </c>
      <c r="H35" s="16">
        <f t="shared" si="11"/>
        <v>11915143.777340904</v>
      </c>
      <c r="I35" s="16">
        <f t="shared" si="11"/>
        <v>12073649.847895868</v>
      </c>
      <c r="J35" s="16">
        <f t="shared" si="11"/>
        <v>12231873.31235218</v>
      </c>
      <c r="K35" s="16">
        <f t="shared" si="11"/>
        <v>12389704.936762575</v>
      </c>
      <c r="L35" s="16">
        <f t="shared" si="11"/>
        <v>12547030.195046067</v>
      </c>
      <c r="M35" s="16">
        <f t="shared" si="11"/>
        <v>12703729.069921678</v>
      </c>
      <c r="N35" s="16">
        <f t="shared" si="11"/>
        <v>12859675.847064042</v>
      </c>
      <c r="O35" s="16">
        <f t="shared" si="11"/>
        <v>13014738.902261576</v>
      </c>
      <c r="P35" s="16">
        <f t="shared" si="11"/>
        <v>13168780.481350748</v>
      </c>
      <c r="Q35" s="16">
        <f t="shared" si="11"/>
        <v>13321656.472693017</v>
      </c>
      <c r="R35" s="16">
        <f t="shared" si="11"/>
        <v>13473216.171953594</v>
      </c>
      <c r="S35" s="16">
        <f t="shared" si="11"/>
        <v>13623302.038933579</v>
      </c>
    </row>
    <row r="37" spans="1:19">
      <c r="A37" t="s">
        <v>56</v>
      </c>
      <c r="C37" s="16">
        <f>C21</f>
        <v>2941176</v>
      </c>
      <c r="D37" s="16">
        <f t="shared" ref="D37:S37" si="12">D21</f>
        <v>2941176</v>
      </c>
      <c r="E37" s="16">
        <f t="shared" si="12"/>
        <v>2941176</v>
      </c>
      <c r="F37" s="16">
        <f t="shared" si="12"/>
        <v>2941176</v>
      </c>
      <c r="G37" s="16">
        <f t="shared" si="12"/>
        <v>2941176</v>
      </c>
      <c r="H37" s="16">
        <f t="shared" si="12"/>
        <v>2941176</v>
      </c>
      <c r="I37" s="16">
        <f t="shared" si="12"/>
        <v>2941176</v>
      </c>
      <c r="J37" s="16">
        <f t="shared" si="12"/>
        <v>2941176</v>
      </c>
      <c r="K37" s="16">
        <f t="shared" si="12"/>
        <v>2941176</v>
      </c>
      <c r="L37" s="16">
        <f t="shared" si="12"/>
        <v>2941176</v>
      </c>
      <c r="M37" s="16">
        <f t="shared" si="12"/>
        <v>2941176</v>
      </c>
      <c r="N37" s="16">
        <f t="shared" si="12"/>
        <v>2941176</v>
      </c>
      <c r="O37" s="16">
        <f t="shared" si="12"/>
        <v>2941176</v>
      </c>
      <c r="P37" s="16">
        <f t="shared" si="12"/>
        <v>2941176</v>
      </c>
      <c r="Q37" s="16">
        <f t="shared" si="12"/>
        <v>2941176</v>
      </c>
      <c r="R37" s="16">
        <f t="shared" si="12"/>
        <v>2941176</v>
      </c>
      <c r="S37" s="16">
        <f t="shared" si="12"/>
        <v>2941176</v>
      </c>
    </row>
    <row r="39" spans="1:19">
      <c r="A39" t="s">
        <v>57</v>
      </c>
    </row>
    <row r="40" spans="1:19">
      <c r="A40" t="s">
        <v>58</v>
      </c>
      <c r="B40" s="16">
        <f>B5</f>
        <v>-50000000</v>
      </c>
      <c r="C40" s="16">
        <f>C35+C37</f>
        <v>14063026.800000001</v>
      </c>
      <c r="D40" s="16">
        <f t="shared" ref="D40:S40" si="13">D35+D37</f>
        <v>14221479.491999999</v>
      </c>
      <c r="E40" s="16">
        <f t="shared" si="13"/>
        <v>14380122.884759996</v>
      </c>
      <c r="F40" s="16">
        <f t="shared" si="13"/>
        <v>14538871.441702794</v>
      </c>
      <c r="G40" s="16">
        <f t="shared" si="13"/>
        <v>14697635.235001888</v>
      </c>
      <c r="H40" s="16">
        <f t="shared" si="13"/>
        <v>14856319.777340904</v>
      </c>
      <c r="I40" s="16">
        <f t="shared" si="13"/>
        <v>15014825.847895868</v>
      </c>
      <c r="J40" s="16">
        <f t="shared" si="13"/>
        <v>15173049.31235218</v>
      </c>
      <c r="K40" s="16">
        <f t="shared" si="13"/>
        <v>15330880.936762575</v>
      </c>
      <c r="L40" s="16">
        <f t="shared" si="13"/>
        <v>15488206.195046067</v>
      </c>
      <c r="M40" s="16">
        <f t="shared" si="13"/>
        <v>15644905.069921678</v>
      </c>
      <c r="N40" s="16">
        <f t="shared" si="13"/>
        <v>15800851.847064042</v>
      </c>
      <c r="O40" s="16">
        <f t="shared" si="13"/>
        <v>15955914.902261576</v>
      </c>
      <c r="P40" s="16">
        <f t="shared" si="13"/>
        <v>16109956.481350748</v>
      </c>
      <c r="Q40" s="16">
        <f t="shared" si="13"/>
        <v>16262832.472693017</v>
      </c>
      <c r="R40" s="16">
        <f t="shared" si="13"/>
        <v>16414392.171953594</v>
      </c>
      <c r="S40" s="16">
        <f t="shared" si="13"/>
        <v>16564478.038933579</v>
      </c>
    </row>
    <row r="42" spans="1:19">
      <c r="A42" t="s">
        <v>59</v>
      </c>
      <c r="C42" s="16">
        <f>C40</f>
        <v>14063026.800000001</v>
      </c>
      <c r="D42" s="16">
        <f t="shared" ref="D42:M42" si="14">C42+D40</f>
        <v>28284506.291999999</v>
      </c>
      <c r="E42" s="16">
        <f t="shared" si="14"/>
        <v>42664629.176759996</v>
      </c>
      <c r="F42" s="16">
        <f t="shared" si="14"/>
        <v>57203500.618462786</v>
      </c>
      <c r="G42" s="16">
        <f t="shared" si="14"/>
        <v>71901135.853464678</v>
      </c>
      <c r="H42" s="16">
        <f t="shared" si="14"/>
        <v>86757455.630805582</v>
      </c>
      <c r="I42" s="16">
        <f t="shared" si="14"/>
        <v>101772281.47870144</v>
      </c>
      <c r="J42" s="16">
        <f t="shared" si="14"/>
        <v>116945330.79105362</v>
      </c>
      <c r="K42" s="16">
        <f t="shared" si="14"/>
        <v>132276211.72781619</v>
      </c>
      <c r="L42" s="16">
        <f t="shared" si="14"/>
        <v>147764417.92286226</v>
      </c>
      <c r="M42" s="16">
        <f t="shared" si="14"/>
        <v>163409322.99278393</v>
      </c>
      <c r="N42" s="16"/>
      <c r="O42" s="16"/>
      <c r="P42" s="16"/>
      <c r="Q42" s="16"/>
      <c r="R42" s="16"/>
    </row>
    <row r="43" spans="1:19">
      <c r="F43" t="s">
        <v>60</v>
      </c>
    </row>
    <row r="44" spans="1:19">
      <c r="A44" t="s">
        <v>61</v>
      </c>
      <c r="B44" s="21">
        <f>NPV(B47,B40:S40)</f>
        <v>80753497.627567872</v>
      </c>
      <c r="C44" s="12"/>
    </row>
    <row r="45" spans="1:19">
      <c r="A45" t="s">
        <v>62</v>
      </c>
      <c r="B45" s="14">
        <f>IRR(B40:S40,0.11)</f>
        <v>0.28756042124945735</v>
      </c>
    </row>
    <row r="46" spans="1:19">
      <c r="B46" s="14"/>
    </row>
    <row r="47" spans="1:19">
      <c r="A47" t="s">
        <v>63</v>
      </c>
      <c r="B47" s="14">
        <v>0.08</v>
      </c>
    </row>
  </sheetData>
  <customSheetViews>
    <customSheetView guid="{7DCB9960-08D5-4449-90C1-2359FB89137D}">
      <selection activeCell="E4" activeCellId="1" sqref="C15 C1:E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Equipement List</vt:lpstr>
      <vt:lpstr>Economics</vt:lpstr>
      <vt:lpstr>Sheet2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Ryan Kosak</cp:lastModifiedBy>
  <dcterms:created xsi:type="dcterms:W3CDTF">2011-02-25T21:23:58Z</dcterms:created>
  <dcterms:modified xsi:type="dcterms:W3CDTF">2011-03-02T17:00:20Z</dcterms:modified>
</cp:coreProperties>
</file>