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95" windowWidth="15150" windowHeight="7620" activeTab="3"/>
  </bookViews>
  <sheets>
    <sheet name="Equipement List" sheetId="1" r:id="rId1"/>
    <sheet name="Raw Materials" sheetId="4" r:id="rId2"/>
    <sheet name="Utilities" sheetId="5" r:id="rId3"/>
    <sheet name="Economics" sheetId="2" r:id="rId4"/>
    <sheet name="Jerry's Sample" sheetId="3" r:id="rId5"/>
    <sheet name="Sheet1" sheetId="6" r:id="rId6"/>
  </sheets>
  <externalReferences>
    <externalReference r:id="rId7"/>
  </externalReferences>
  <calcPr calcId="144525"/>
  <customWorkbookViews>
    <customWorkbookView name="Vijeta Patel - Personal View" guid="{7DCB9960-08D5-4449-90C1-2359FB89137D}" mergeInterval="0" personalView="1" maximized="1" windowWidth="1362" windowHeight="543" activeSheetId="1"/>
  </customWorkbookViews>
</workbook>
</file>

<file path=xl/calcChain.xml><?xml version="1.0" encoding="utf-8"?>
<calcChain xmlns="http://schemas.openxmlformats.org/spreadsheetml/2006/main">
  <c r="B17" i="6" l="1"/>
  <c r="B18" i="6" s="1"/>
  <c r="B14" i="6"/>
  <c r="B15" i="6" s="1"/>
  <c r="B13" i="6"/>
  <c r="F21" i="2"/>
  <c r="G21" i="2" s="1"/>
  <c r="H21" i="2" s="1"/>
  <c r="I21" i="2" s="1"/>
  <c r="J21" i="2" s="1"/>
  <c r="K21" i="2" s="1"/>
  <c r="L21" i="2" s="1"/>
  <c r="M21" i="2" s="1"/>
  <c r="N21" i="2" s="1"/>
  <c r="O21" i="2" s="1"/>
  <c r="P21" i="2" s="1"/>
  <c r="Q21" i="2" s="1"/>
  <c r="R21" i="2" s="1"/>
  <c r="S21" i="2" s="1"/>
  <c r="T21" i="2" s="1"/>
  <c r="U21" i="2" s="1"/>
  <c r="V21" i="2" s="1"/>
  <c r="W21" i="2" s="1"/>
  <c r="X21" i="2" s="1"/>
  <c r="Y21" i="2" s="1"/>
  <c r="Z21" i="2" s="1"/>
  <c r="AA21" i="2" s="1"/>
  <c r="E21" i="2"/>
  <c r="D21" i="2"/>
  <c r="B16" i="6" l="1"/>
  <c r="B20" i="6" s="1"/>
  <c r="B22" i="6" l="1"/>
  <c r="B23" i="6" s="1"/>
  <c r="C21" i="2" l="1"/>
  <c r="C1" i="6" l="1"/>
  <c r="B1" i="6"/>
  <c r="K7" i="1"/>
  <c r="C31" i="2"/>
  <c r="D31" i="2" s="1"/>
  <c r="E31" i="2" s="1"/>
  <c r="F31" i="2" s="1"/>
  <c r="G31" i="2" s="1"/>
  <c r="H31" i="2" s="1"/>
  <c r="I31" i="2" s="1"/>
  <c r="J31" i="2" s="1"/>
  <c r="K31" i="2" s="1"/>
  <c r="L31" i="2" s="1"/>
  <c r="M31" i="2" s="1"/>
  <c r="N31" i="2" s="1"/>
  <c r="O31" i="2" s="1"/>
  <c r="P31" i="2" s="1"/>
  <c r="Q31" i="2" s="1"/>
  <c r="R31" i="2" s="1"/>
  <c r="S31" i="2" s="1"/>
  <c r="T31" i="2" s="1"/>
  <c r="U31" i="2" s="1"/>
  <c r="V31" i="2" s="1"/>
  <c r="W31" i="2" s="1"/>
  <c r="X31" i="2" s="1"/>
  <c r="Y31" i="2" s="1"/>
  <c r="Z31" i="2" s="1"/>
  <c r="AA31" i="2" s="1"/>
  <c r="D27" i="2"/>
  <c r="G22" i="2"/>
  <c r="H22" i="2" s="1"/>
  <c r="I22" i="2" s="1"/>
  <c r="J22" i="2" s="1"/>
  <c r="K22" i="2" s="1"/>
  <c r="L22" i="2" s="1"/>
  <c r="M22" i="2" s="1"/>
  <c r="N22" i="2" s="1"/>
  <c r="O22" i="2" s="1"/>
  <c r="P22" i="2" s="1"/>
  <c r="Q22" i="2" s="1"/>
  <c r="R22" i="2" s="1"/>
  <c r="S22" i="2" s="1"/>
  <c r="T22" i="2" s="1"/>
  <c r="U22" i="2" s="1"/>
  <c r="V22" i="2" s="1"/>
  <c r="W22" i="2" s="1"/>
  <c r="X22" i="2" s="1"/>
  <c r="Y22" i="2" s="1"/>
  <c r="Z22" i="2" s="1"/>
  <c r="AA22" i="2" s="1"/>
  <c r="F22" i="2"/>
  <c r="E22" i="2"/>
  <c r="D22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G19" i="2"/>
  <c r="H19" i="2" s="1"/>
  <c r="I19" i="2" s="1"/>
  <c r="J19" i="2" s="1"/>
  <c r="K19" i="2" s="1"/>
  <c r="L19" i="2" s="1"/>
  <c r="M19" i="2" s="1"/>
  <c r="N19" i="2" s="1"/>
  <c r="O19" i="2" s="1"/>
  <c r="P19" i="2" s="1"/>
  <c r="Q19" i="2" s="1"/>
  <c r="R19" i="2" s="1"/>
  <c r="S19" i="2" s="1"/>
  <c r="T19" i="2" s="1"/>
  <c r="U19" i="2" s="1"/>
  <c r="V19" i="2" s="1"/>
  <c r="W19" i="2" s="1"/>
  <c r="X19" i="2" s="1"/>
  <c r="Y19" i="2" s="1"/>
  <c r="Z19" i="2" s="1"/>
  <c r="AA19" i="2" s="1"/>
  <c r="F19" i="2"/>
  <c r="C19" i="2"/>
  <c r="D19" i="2" s="1"/>
  <c r="E19" i="2" s="1"/>
  <c r="C18" i="2"/>
  <c r="D18" i="2" s="1"/>
  <c r="E18" i="2" s="1"/>
  <c r="F18" i="2" s="1"/>
  <c r="G18" i="2" s="1"/>
  <c r="H18" i="2" s="1"/>
  <c r="I18" i="2" s="1"/>
  <c r="J18" i="2" s="1"/>
  <c r="K18" i="2" s="1"/>
  <c r="L18" i="2" s="1"/>
  <c r="M18" i="2" s="1"/>
  <c r="N18" i="2" s="1"/>
  <c r="O18" i="2" s="1"/>
  <c r="P18" i="2" s="1"/>
  <c r="Q18" i="2" s="1"/>
  <c r="R18" i="2" s="1"/>
  <c r="S18" i="2" s="1"/>
  <c r="T18" i="2" s="1"/>
  <c r="U18" i="2" s="1"/>
  <c r="V18" i="2" s="1"/>
  <c r="W18" i="2" s="1"/>
  <c r="X18" i="2" s="1"/>
  <c r="Y18" i="2" s="1"/>
  <c r="Z18" i="2" s="1"/>
  <c r="AA18" i="2" s="1"/>
  <c r="E12" i="2"/>
  <c r="D12" i="2"/>
  <c r="C12" i="2"/>
  <c r="C27" i="2" s="1"/>
  <c r="C11" i="2"/>
  <c r="D11" i="2" s="1"/>
  <c r="E11" i="2" s="1"/>
  <c r="F11" i="2" s="1"/>
  <c r="G11" i="2" s="1"/>
  <c r="H11" i="2" s="1"/>
  <c r="I11" i="2" s="1"/>
  <c r="J11" i="2" s="1"/>
  <c r="K11" i="2" s="1"/>
  <c r="L11" i="2" s="1"/>
  <c r="M11" i="2" s="1"/>
  <c r="N11" i="2" s="1"/>
  <c r="O11" i="2" s="1"/>
  <c r="P11" i="2" s="1"/>
  <c r="Q11" i="2" s="1"/>
  <c r="R11" i="2" s="1"/>
  <c r="S11" i="2" s="1"/>
  <c r="T11" i="2" s="1"/>
  <c r="U11" i="2" s="1"/>
  <c r="V11" i="2" s="1"/>
  <c r="W11" i="2" s="1"/>
  <c r="X11" i="2" s="1"/>
  <c r="Y11" i="2" s="1"/>
  <c r="Z11" i="2" s="1"/>
  <c r="AA11" i="2" s="1"/>
  <c r="C10" i="2"/>
  <c r="D10" i="2" s="1"/>
  <c r="E10" i="2" s="1"/>
  <c r="F10" i="2" s="1"/>
  <c r="G10" i="2" s="1"/>
  <c r="H10" i="2" s="1"/>
  <c r="I10" i="2" s="1"/>
  <c r="J10" i="2" s="1"/>
  <c r="K10" i="2" s="1"/>
  <c r="L10" i="2" s="1"/>
  <c r="M10" i="2" s="1"/>
  <c r="N10" i="2" s="1"/>
  <c r="O10" i="2" s="1"/>
  <c r="P10" i="2" s="1"/>
  <c r="Q10" i="2" s="1"/>
  <c r="R10" i="2" s="1"/>
  <c r="S10" i="2" s="1"/>
  <c r="T10" i="2" s="1"/>
  <c r="U10" i="2" s="1"/>
  <c r="V10" i="2" s="1"/>
  <c r="W10" i="2" s="1"/>
  <c r="X10" i="2" s="1"/>
  <c r="Y10" i="2" s="1"/>
  <c r="Z10" i="2" s="1"/>
  <c r="AA10" i="2" s="1"/>
  <c r="K22" i="1"/>
  <c r="G22" i="1"/>
  <c r="N31" i="1"/>
  <c r="I3" i="4"/>
  <c r="K3" i="4" s="1"/>
  <c r="I4" i="4"/>
  <c r="K4" i="4" s="1"/>
  <c r="I5" i="4"/>
  <c r="K5" i="4" s="1"/>
  <c r="K6" i="4"/>
  <c r="K7" i="4"/>
  <c r="I8" i="4"/>
  <c r="K8" i="4" s="1"/>
  <c r="F12" i="2" l="1"/>
  <c r="E27" i="2"/>
  <c r="I9" i="4"/>
  <c r="K9" i="4"/>
  <c r="K3" i="1"/>
  <c r="G3" i="1"/>
  <c r="G42" i="1" s="1"/>
  <c r="I5" i="1"/>
  <c r="K5" i="1" s="1"/>
  <c r="I30" i="1"/>
  <c r="K4" i="1"/>
  <c r="I28" i="1"/>
  <c r="I8" i="1"/>
  <c r="K8" i="1" s="1"/>
  <c r="F27" i="2" l="1"/>
  <c r="G12" i="2"/>
  <c r="C15" i="3"/>
  <c r="C25" i="3"/>
  <c r="D25" i="3" s="1"/>
  <c r="E25" i="3" s="1"/>
  <c r="F25" i="3" s="1"/>
  <c r="G25" i="3" s="1"/>
  <c r="H25" i="3" s="1"/>
  <c r="I25" i="3" s="1"/>
  <c r="J25" i="3" s="1"/>
  <c r="K25" i="3" s="1"/>
  <c r="L25" i="3" s="1"/>
  <c r="M25" i="3" s="1"/>
  <c r="N25" i="3" s="1"/>
  <c r="O25" i="3" s="1"/>
  <c r="P25" i="3" s="1"/>
  <c r="Q25" i="3" s="1"/>
  <c r="R25" i="3" s="1"/>
  <c r="S25" i="3" s="1"/>
  <c r="B40" i="3"/>
  <c r="S37" i="3"/>
  <c r="R37" i="3"/>
  <c r="Q37" i="3"/>
  <c r="P37" i="3"/>
  <c r="O37" i="3"/>
  <c r="N37" i="3"/>
  <c r="M37" i="3"/>
  <c r="L37" i="3"/>
  <c r="K37" i="3"/>
  <c r="J37" i="3"/>
  <c r="I37" i="3"/>
  <c r="H37" i="3"/>
  <c r="G37" i="3"/>
  <c r="F37" i="3"/>
  <c r="E37" i="3"/>
  <c r="D37" i="3"/>
  <c r="C37" i="3"/>
  <c r="D27" i="3"/>
  <c r="E27" i="3" s="1"/>
  <c r="F27" i="3" s="1"/>
  <c r="G27" i="3" s="1"/>
  <c r="H27" i="3" s="1"/>
  <c r="I27" i="3" s="1"/>
  <c r="J27" i="3" s="1"/>
  <c r="K27" i="3" s="1"/>
  <c r="L27" i="3" s="1"/>
  <c r="M27" i="3" s="1"/>
  <c r="N27" i="3" s="1"/>
  <c r="O27" i="3" s="1"/>
  <c r="P27" i="3" s="1"/>
  <c r="Q27" i="3" s="1"/>
  <c r="R27" i="3" s="1"/>
  <c r="S27" i="3" s="1"/>
  <c r="D22" i="3"/>
  <c r="E22" i="3" s="1"/>
  <c r="F22" i="3" s="1"/>
  <c r="G22" i="3" s="1"/>
  <c r="H22" i="3" s="1"/>
  <c r="I22" i="3" s="1"/>
  <c r="J22" i="3" s="1"/>
  <c r="K22" i="3" s="1"/>
  <c r="L22" i="3" s="1"/>
  <c r="M22" i="3" s="1"/>
  <c r="N22" i="3" s="1"/>
  <c r="O22" i="3" s="1"/>
  <c r="P22" i="3" s="1"/>
  <c r="Q22" i="3" s="1"/>
  <c r="R22" i="3" s="1"/>
  <c r="S22" i="3" s="1"/>
  <c r="D19" i="3"/>
  <c r="E19" i="3" s="1"/>
  <c r="F19" i="3" s="1"/>
  <c r="G19" i="3" s="1"/>
  <c r="H19" i="3" s="1"/>
  <c r="I19" i="3" s="1"/>
  <c r="J19" i="3" s="1"/>
  <c r="K19" i="3" s="1"/>
  <c r="L19" i="3" s="1"/>
  <c r="M19" i="3" s="1"/>
  <c r="N19" i="3" s="1"/>
  <c r="O19" i="3" s="1"/>
  <c r="P19" i="3" s="1"/>
  <c r="Q19" i="3" s="1"/>
  <c r="R19" i="3" s="1"/>
  <c r="S19" i="3" s="1"/>
  <c r="D18" i="3"/>
  <c r="E18" i="3" s="1"/>
  <c r="F18" i="3" s="1"/>
  <c r="G18" i="3" s="1"/>
  <c r="H18" i="3" s="1"/>
  <c r="I18" i="3" s="1"/>
  <c r="J18" i="3" s="1"/>
  <c r="K18" i="3" s="1"/>
  <c r="L18" i="3" s="1"/>
  <c r="M18" i="3" s="1"/>
  <c r="N18" i="3" s="1"/>
  <c r="O18" i="3" s="1"/>
  <c r="P18" i="3" s="1"/>
  <c r="Q18" i="3" s="1"/>
  <c r="R18" i="3" s="1"/>
  <c r="S18" i="3" s="1"/>
  <c r="E17" i="3"/>
  <c r="F17" i="3" s="1"/>
  <c r="G17" i="3" s="1"/>
  <c r="H17" i="3" s="1"/>
  <c r="I17" i="3" s="1"/>
  <c r="J17" i="3" s="1"/>
  <c r="K17" i="3" s="1"/>
  <c r="L17" i="3" s="1"/>
  <c r="M17" i="3" s="1"/>
  <c r="N17" i="3" s="1"/>
  <c r="O17" i="3" s="1"/>
  <c r="P17" i="3" s="1"/>
  <c r="Q17" i="3" s="1"/>
  <c r="R17" i="3" s="1"/>
  <c r="S17" i="3" s="1"/>
  <c r="D17" i="3"/>
  <c r="E16" i="3"/>
  <c r="F16" i="3" s="1"/>
  <c r="G16" i="3" s="1"/>
  <c r="H16" i="3" s="1"/>
  <c r="I16" i="3" s="1"/>
  <c r="J16" i="3" s="1"/>
  <c r="K16" i="3" s="1"/>
  <c r="L16" i="3" s="1"/>
  <c r="M16" i="3" s="1"/>
  <c r="D16" i="3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D10" i="3"/>
  <c r="E10" i="3" s="1"/>
  <c r="G27" i="2" l="1"/>
  <c r="H12" i="2"/>
  <c r="C29" i="3"/>
  <c r="C31" i="3" s="1"/>
  <c r="C33" i="3" s="1"/>
  <c r="D29" i="3"/>
  <c r="D31" i="3" s="1"/>
  <c r="E29" i="3"/>
  <c r="I29" i="3"/>
  <c r="N16" i="3"/>
  <c r="O16" i="3" s="1"/>
  <c r="P16" i="3" s="1"/>
  <c r="Q16" i="3" s="1"/>
  <c r="M29" i="3"/>
  <c r="E31" i="3"/>
  <c r="G29" i="3"/>
  <c r="K29" i="3"/>
  <c r="O29" i="3"/>
  <c r="L29" i="3"/>
  <c r="C35" i="3"/>
  <c r="C40" i="3" s="1"/>
  <c r="F10" i="3"/>
  <c r="H29" i="3"/>
  <c r="P29" i="3"/>
  <c r="F29" i="3"/>
  <c r="J29" i="3"/>
  <c r="N29" i="3"/>
  <c r="I26" i="1"/>
  <c r="K26" i="1" s="1"/>
  <c r="I27" i="1"/>
  <c r="K27" i="1" s="1"/>
  <c r="K28" i="1"/>
  <c r="O31" i="1"/>
  <c r="K30" i="1"/>
  <c r="I10" i="1"/>
  <c r="K10" i="1" s="1"/>
  <c r="I6" i="1"/>
  <c r="H27" i="2" l="1"/>
  <c r="I12" i="2"/>
  <c r="K6" i="1"/>
  <c r="K43" i="1" s="1"/>
  <c r="D33" i="3"/>
  <c r="D35" i="3"/>
  <c r="D40" i="3" s="1"/>
  <c r="G10" i="3"/>
  <c r="F31" i="3"/>
  <c r="E33" i="3"/>
  <c r="E35" i="3" s="1"/>
  <c r="E40" i="3" s="1"/>
  <c r="C42" i="3"/>
  <c r="D42" i="3" s="1"/>
  <c r="R16" i="3"/>
  <c r="Q29" i="3"/>
  <c r="I42" i="1"/>
  <c r="B46" i="2" l="1"/>
  <c r="W17" i="2"/>
  <c r="H17" i="2"/>
  <c r="V17" i="2"/>
  <c r="F17" i="2"/>
  <c r="Q17" i="2"/>
  <c r="C17" i="2"/>
  <c r="D17" i="2"/>
  <c r="T17" i="2"/>
  <c r="R17" i="2"/>
  <c r="M17" i="2"/>
  <c r="K17" i="2"/>
  <c r="O17" i="2"/>
  <c r="G17" i="2"/>
  <c r="C25" i="2"/>
  <c r="D25" i="2" s="1"/>
  <c r="E25" i="2" s="1"/>
  <c r="F25" i="2" s="1"/>
  <c r="G25" i="2" s="1"/>
  <c r="H25" i="2" s="1"/>
  <c r="I25" i="2" s="1"/>
  <c r="J25" i="2" s="1"/>
  <c r="K25" i="2" s="1"/>
  <c r="L25" i="2" s="1"/>
  <c r="M25" i="2" s="1"/>
  <c r="N25" i="2" s="1"/>
  <c r="O25" i="2" s="1"/>
  <c r="P25" i="2" s="1"/>
  <c r="Q25" i="2" s="1"/>
  <c r="R25" i="2" s="1"/>
  <c r="S25" i="2" s="1"/>
  <c r="T25" i="2" s="1"/>
  <c r="U25" i="2" s="1"/>
  <c r="V25" i="2" s="1"/>
  <c r="W25" i="2" s="1"/>
  <c r="X25" i="2" s="1"/>
  <c r="Y25" i="2" s="1"/>
  <c r="Z25" i="2" s="1"/>
  <c r="AA25" i="2" s="1"/>
  <c r="N17" i="2"/>
  <c r="Y17" i="2"/>
  <c r="I17" i="2"/>
  <c r="S17" i="2"/>
  <c r="L17" i="2"/>
  <c r="P17" i="2"/>
  <c r="Z17" i="2"/>
  <c r="J17" i="2"/>
  <c r="U17" i="2"/>
  <c r="AA17" i="2"/>
  <c r="C29" i="2"/>
  <c r="D29" i="2" s="1"/>
  <c r="E29" i="2" s="1"/>
  <c r="F29" i="2" s="1"/>
  <c r="G29" i="2" s="1"/>
  <c r="H29" i="2" s="1"/>
  <c r="I29" i="2" s="1"/>
  <c r="J29" i="2" s="1"/>
  <c r="K29" i="2" s="1"/>
  <c r="L29" i="2" s="1"/>
  <c r="M29" i="2" s="1"/>
  <c r="N29" i="2" s="1"/>
  <c r="O29" i="2" s="1"/>
  <c r="P29" i="2" s="1"/>
  <c r="Q29" i="2" s="1"/>
  <c r="R29" i="2" s="1"/>
  <c r="S29" i="2" s="1"/>
  <c r="T29" i="2" s="1"/>
  <c r="U29" i="2" s="1"/>
  <c r="V29" i="2" s="1"/>
  <c r="W29" i="2" s="1"/>
  <c r="X29" i="2" s="1"/>
  <c r="Y29" i="2" s="1"/>
  <c r="Z29" i="2" s="1"/>
  <c r="AA29" i="2" s="1"/>
  <c r="X17" i="2"/>
  <c r="E17" i="2"/>
  <c r="J12" i="2"/>
  <c r="I27" i="2"/>
  <c r="K42" i="1"/>
  <c r="G43" i="1"/>
  <c r="G31" i="3"/>
  <c r="H10" i="3"/>
  <c r="E42" i="3"/>
  <c r="F33" i="3"/>
  <c r="F35" i="3" s="1"/>
  <c r="F40" i="3" s="1"/>
  <c r="S16" i="3"/>
  <c r="S29" i="3" s="1"/>
  <c r="R29" i="3"/>
  <c r="H33" i="2" l="1"/>
  <c r="H37" i="2" s="1"/>
  <c r="H39" i="2" s="1"/>
  <c r="H41" i="2" s="1"/>
  <c r="H46" i="2" s="1"/>
  <c r="E33" i="2"/>
  <c r="E37" i="2" s="1"/>
  <c r="E39" i="2" s="1"/>
  <c r="E41" i="2" s="1"/>
  <c r="E46" i="2" s="1"/>
  <c r="D33" i="2"/>
  <c r="D37" i="2" s="1"/>
  <c r="D39" i="2" s="1"/>
  <c r="D41" i="2" s="1"/>
  <c r="D46" i="2" s="1"/>
  <c r="I33" i="2"/>
  <c r="I37" i="2" s="1"/>
  <c r="C33" i="2"/>
  <c r="C37" i="2" s="1"/>
  <c r="C39" i="2" s="1"/>
  <c r="C41" i="2" s="1"/>
  <c r="C46" i="2" s="1"/>
  <c r="C48" i="2" s="1"/>
  <c r="G33" i="2"/>
  <c r="G37" i="2" s="1"/>
  <c r="G39" i="2" s="1"/>
  <c r="G41" i="2" s="1"/>
  <c r="G46" i="2" s="1"/>
  <c r="F33" i="2"/>
  <c r="F37" i="2" s="1"/>
  <c r="F39" i="2" s="1"/>
  <c r="F41" i="2" s="1"/>
  <c r="F46" i="2" s="1"/>
  <c r="I39" i="2"/>
  <c r="I41" i="2" s="1"/>
  <c r="I46" i="2" s="1"/>
  <c r="J27" i="2"/>
  <c r="J33" i="2" s="1"/>
  <c r="J37" i="2" s="1"/>
  <c r="K12" i="2"/>
  <c r="F49" i="1"/>
  <c r="F48" i="1"/>
  <c r="F42" i="3"/>
  <c r="I10" i="3"/>
  <c r="H31" i="3"/>
  <c r="G33" i="3"/>
  <c r="G35" i="3" s="1"/>
  <c r="G40" i="3" s="1"/>
  <c r="D48" i="2" l="1"/>
  <c r="E48" i="2" s="1"/>
  <c r="F48" i="2" s="1"/>
  <c r="G48" i="2" s="1"/>
  <c r="H48" i="2" s="1"/>
  <c r="I48" i="2" s="1"/>
  <c r="L12" i="2"/>
  <c r="K27" i="2"/>
  <c r="K33" i="2" s="1"/>
  <c r="K37" i="2" s="1"/>
  <c r="J39" i="2"/>
  <c r="J41" i="2" s="1"/>
  <c r="J46" i="2" s="1"/>
  <c r="G42" i="3"/>
  <c r="I31" i="3"/>
  <c r="J10" i="3"/>
  <c r="H33" i="3"/>
  <c r="H35" i="3" s="1"/>
  <c r="H40" i="3" s="1"/>
  <c r="K39" i="2" l="1"/>
  <c r="K41" i="2" s="1"/>
  <c r="K46" i="2" s="1"/>
  <c r="J48" i="2"/>
  <c r="L27" i="2"/>
  <c r="L33" i="2" s="1"/>
  <c r="L37" i="2" s="1"/>
  <c r="M12" i="2"/>
  <c r="I33" i="3"/>
  <c r="I35" i="3" s="1"/>
  <c r="I40" i="3" s="1"/>
  <c r="H42" i="3"/>
  <c r="K10" i="3"/>
  <c r="J31" i="3"/>
  <c r="L39" i="2" l="1"/>
  <c r="L41" i="2" s="1"/>
  <c r="L46" i="2" s="1"/>
  <c r="K48" i="2"/>
  <c r="M27" i="2"/>
  <c r="M33" i="2" s="1"/>
  <c r="M37" i="2" s="1"/>
  <c r="N12" i="2"/>
  <c r="I42" i="3"/>
  <c r="J33" i="3"/>
  <c r="J35" i="3" s="1"/>
  <c r="J40" i="3" s="1"/>
  <c r="K31" i="3"/>
  <c r="L10" i="3"/>
  <c r="M39" i="2" l="1"/>
  <c r="M41" i="2" s="1"/>
  <c r="M46" i="2" s="1"/>
  <c r="L48" i="2"/>
  <c r="N27" i="2"/>
  <c r="N33" i="2" s="1"/>
  <c r="N37" i="2" s="1"/>
  <c r="O12" i="2"/>
  <c r="K33" i="3"/>
  <c r="K35" i="3" s="1"/>
  <c r="K40" i="3" s="1"/>
  <c r="M10" i="3"/>
  <c r="L31" i="3"/>
  <c r="J42" i="3"/>
  <c r="N39" i="2" l="1"/>
  <c r="N41" i="2" s="1"/>
  <c r="N46" i="2" s="1"/>
  <c r="M48" i="2"/>
  <c r="O27" i="2"/>
  <c r="O33" i="2" s="1"/>
  <c r="O37" i="2" s="1"/>
  <c r="P12" i="2"/>
  <c r="K42" i="3"/>
  <c r="L33" i="3"/>
  <c r="L35" i="3" s="1"/>
  <c r="L40" i="3" s="1"/>
  <c r="M31" i="3"/>
  <c r="N10" i="3"/>
  <c r="O39" i="2" l="1"/>
  <c r="O41" i="2" s="1"/>
  <c r="O46" i="2" s="1"/>
  <c r="N48" i="2"/>
  <c r="P27" i="2"/>
  <c r="P33" i="2" s="1"/>
  <c r="P37" i="2" s="1"/>
  <c r="Q12" i="2"/>
  <c r="O10" i="3"/>
  <c r="N31" i="3"/>
  <c r="L42" i="3"/>
  <c r="M33" i="3"/>
  <c r="M35" i="3" s="1"/>
  <c r="M40" i="3" s="1"/>
  <c r="P39" i="2" l="1"/>
  <c r="P41" i="2" s="1"/>
  <c r="P46" i="2" s="1"/>
  <c r="O48" i="2"/>
  <c r="Q27" i="2"/>
  <c r="Q33" i="2" s="1"/>
  <c r="Q37" i="2" s="1"/>
  <c r="R12" i="2"/>
  <c r="N33" i="3"/>
  <c r="N35" i="3" s="1"/>
  <c r="N40" i="3" s="1"/>
  <c r="M42" i="3"/>
  <c r="O31" i="3"/>
  <c r="P10" i="3"/>
  <c r="Q39" i="2" l="1"/>
  <c r="Q41" i="2" s="1"/>
  <c r="Q46" i="2" s="1"/>
  <c r="P48" i="2"/>
  <c r="R27" i="2"/>
  <c r="R33" i="2" s="1"/>
  <c r="R37" i="2" s="1"/>
  <c r="S12" i="2"/>
  <c r="Q10" i="3"/>
  <c r="P31" i="3"/>
  <c r="O33" i="3"/>
  <c r="O35" i="3" s="1"/>
  <c r="O40" i="3" s="1"/>
  <c r="R39" i="2" l="1"/>
  <c r="R41" i="2" s="1"/>
  <c r="R46" i="2" s="1"/>
  <c r="Q48" i="2"/>
  <c r="S27" i="2"/>
  <c r="S33" i="2" s="1"/>
  <c r="S37" i="2" s="1"/>
  <c r="T12" i="2"/>
  <c r="P33" i="3"/>
  <c r="P35" i="3" s="1"/>
  <c r="P40" i="3" s="1"/>
  <c r="Q31" i="3"/>
  <c r="R10" i="3"/>
  <c r="R48" i="2" l="1"/>
  <c r="T27" i="2"/>
  <c r="T33" i="2" s="1"/>
  <c r="T37" i="2" s="1"/>
  <c r="U12" i="2"/>
  <c r="S39" i="2"/>
  <c r="S41" i="2" s="1"/>
  <c r="S46" i="2" s="1"/>
  <c r="Q33" i="3"/>
  <c r="Q35" i="3" s="1"/>
  <c r="Q40" i="3" s="1"/>
  <c r="S10" i="3"/>
  <c r="S31" i="3" s="1"/>
  <c r="R31" i="3"/>
  <c r="T39" i="2" l="1"/>
  <c r="T41" i="2" s="1"/>
  <c r="T46" i="2" s="1"/>
  <c r="V12" i="2"/>
  <c r="U27" i="2"/>
  <c r="U33" i="2" s="1"/>
  <c r="U37" i="2" s="1"/>
  <c r="S48" i="2"/>
  <c r="R33" i="3"/>
  <c r="R35" i="3"/>
  <c r="R40" i="3" s="1"/>
  <c r="S33" i="3"/>
  <c r="S35" i="3" s="1"/>
  <c r="S40" i="3" s="1"/>
  <c r="U39" i="2" l="1"/>
  <c r="U41" i="2" s="1"/>
  <c r="U46" i="2" s="1"/>
  <c r="V27" i="2"/>
  <c r="V33" i="2" s="1"/>
  <c r="V37" i="2" s="1"/>
  <c r="W12" i="2"/>
  <c r="T48" i="2"/>
  <c r="B44" i="3"/>
  <c r="B45" i="3"/>
  <c r="V39" i="2" l="1"/>
  <c r="V41" i="2" s="1"/>
  <c r="V46" i="2" s="1"/>
  <c r="U48" i="2"/>
  <c r="W27" i="2"/>
  <c r="W33" i="2" s="1"/>
  <c r="W37" i="2" s="1"/>
  <c r="X12" i="2"/>
  <c r="W39" i="2" l="1"/>
  <c r="W41" i="2" s="1"/>
  <c r="W46" i="2" s="1"/>
  <c r="V48" i="2"/>
  <c r="X27" i="2"/>
  <c r="X33" i="2" s="1"/>
  <c r="X37" i="2" s="1"/>
  <c r="Y12" i="2"/>
  <c r="W48" i="2" l="1"/>
  <c r="Z12" i="2"/>
  <c r="Y27" i="2"/>
  <c r="Y33" i="2" s="1"/>
  <c r="Y37" i="2" s="1"/>
  <c r="X39" i="2"/>
  <c r="X41" i="2" s="1"/>
  <c r="X46" i="2" s="1"/>
  <c r="Y39" i="2" l="1"/>
  <c r="Y41" i="2" s="1"/>
  <c r="Y46" i="2" s="1"/>
  <c r="Z27" i="2"/>
  <c r="Z33" i="2" s="1"/>
  <c r="Z37" i="2" s="1"/>
  <c r="AA12" i="2"/>
  <c r="X48" i="2"/>
  <c r="Z39" i="2" l="1"/>
  <c r="Z41" i="2" s="1"/>
  <c r="Z46" i="2" s="1"/>
  <c r="Y48" i="2"/>
  <c r="AA27" i="2"/>
  <c r="AA33" i="2" s="1"/>
  <c r="AA37" i="2" s="1"/>
  <c r="AA39" i="2" l="1"/>
  <c r="AA41" i="2" s="1"/>
  <c r="AA46" i="2" s="1"/>
  <c r="B50" i="2" s="1"/>
  <c r="Z48" i="2"/>
  <c r="B51" i="2" l="1"/>
  <c r="AA48" i="2"/>
</calcChain>
</file>

<file path=xl/sharedStrings.xml><?xml version="1.0" encoding="utf-8"?>
<sst xmlns="http://schemas.openxmlformats.org/spreadsheetml/2006/main" count="192" uniqueCount="152">
  <si>
    <t>Raw Materials</t>
  </si>
  <si>
    <t>Petcoke (T/D)</t>
  </si>
  <si>
    <t>Ferro-chrome</t>
  </si>
  <si>
    <t>Aluminum oxide</t>
  </si>
  <si>
    <t>Platinum</t>
  </si>
  <si>
    <t>Price ($)</t>
  </si>
  <si>
    <t>Total Cost (day)</t>
  </si>
  <si>
    <t>Quantity(day)</t>
  </si>
  <si>
    <t>($/mt)</t>
  </si>
  <si>
    <t>Water(gallon)</t>
  </si>
  <si>
    <t>year</t>
  </si>
  <si>
    <t>current value</t>
  </si>
  <si>
    <t>($/lbm)</t>
  </si>
  <si>
    <t>Cost ($)/(year)</t>
  </si>
  <si>
    <t>Equipments</t>
  </si>
  <si>
    <t>Gasifier</t>
  </si>
  <si>
    <t>Cooler 1</t>
  </si>
  <si>
    <t>Cooler 2</t>
  </si>
  <si>
    <t>Zinc oxide (lbm/day)</t>
  </si>
  <si>
    <t xml:space="preserve">Utilities </t>
  </si>
  <si>
    <t>($/2.20 lbm)</t>
  </si>
  <si>
    <t>(by KFO)</t>
  </si>
  <si>
    <t>($/110 lbm)</t>
  </si>
  <si>
    <t>Heat Duty (MMBTU/hr)</t>
  </si>
  <si>
    <t>Cyclone</t>
  </si>
  <si>
    <t>assuming 4000 gallons of volume and 150 psi</t>
  </si>
  <si>
    <t>(assuming that the plant would be running 350 days per year)</t>
  </si>
  <si>
    <t>Income Statement for UIC Enterprises</t>
  </si>
  <si>
    <t>Year</t>
  </si>
  <si>
    <t>Capital Cost</t>
  </si>
  <si>
    <t>Revenues</t>
  </si>
  <si>
    <t>10,000,000 gal</t>
  </si>
  <si>
    <t>at $5/lb</t>
  </si>
  <si>
    <t>Expenses</t>
  </si>
  <si>
    <t>Utilities</t>
  </si>
  <si>
    <t>Loan Expense</t>
  </si>
  <si>
    <t>Steam Generation</t>
  </si>
  <si>
    <t>Cooling water</t>
  </si>
  <si>
    <t>Electrical</t>
  </si>
  <si>
    <t>Other Gas Costs</t>
  </si>
  <si>
    <t>Depreciation</t>
  </si>
  <si>
    <t>Salaries and Fringes</t>
  </si>
  <si>
    <t>Maintenance</t>
  </si>
  <si>
    <t>3% of cap cost</t>
  </si>
  <si>
    <t>Total Expenses</t>
  </si>
  <si>
    <t>Income before Taxes</t>
  </si>
  <si>
    <t>Taxes, 40%</t>
  </si>
  <si>
    <t>Income After Taxes</t>
  </si>
  <si>
    <t>Add Back Depreciation</t>
  </si>
  <si>
    <t xml:space="preserve">Cash Flow From </t>
  </si>
  <si>
    <t>Operations</t>
  </si>
  <si>
    <t>Cumulative Cash Flow</t>
  </si>
  <si>
    <t>Payback of 4 years</t>
  </si>
  <si>
    <t>NPV</t>
  </si>
  <si>
    <t>IRR</t>
  </si>
  <si>
    <t>Interest</t>
  </si>
  <si>
    <t>Cost ($) for Nov. 2010</t>
  </si>
  <si>
    <t>ASU</t>
  </si>
  <si>
    <t>Maintainance cost</t>
  </si>
  <si>
    <t>Assuming Installation factor includes direct cost, indirect cost, contingency cost, and a contractor's fee</t>
  </si>
  <si>
    <t xml:space="preserve">10 feet diameter ; 1250 hp </t>
  </si>
  <si>
    <t>Reactor 3 (CP)</t>
  </si>
  <si>
    <t>Reactor 4 (CP)</t>
  </si>
  <si>
    <t>Reactor 5 (CP)</t>
  </si>
  <si>
    <t>Absorber 1</t>
  </si>
  <si>
    <t>Absorber 2</t>
  </si>
  <si>
    <t>Heat exchanger 4</t>
  </si>
  <si>
    <t>Candle filter</t>
  </si>
  <si>
    <t>Claus Furnace</t>
  </si>
  <si>
    <t>CO2 Capture Plant</t>
  </si>
  <si>
    <t>Compressors</t>
  </si>
  <si>
    <t>Cooler 3</t>
  </si>
  <si>
    <t>Cooler 4</t>
  </si>
  <si>
    <t>Cooler 5</t>
  </si>
  <si>
    <t>H2S Stripper</t>
  </si>
  <si>
    <t>Heat exchanger 1</t>
  </si>
  <si>
    <t>Heat exchanger 2</t>
  </si>
  <si>
    <t>Heat exchanger 3</t>
  </si>
  <si>
    <t>Petcoke Crusher</t>
  </si>
  <si>
    <t>Royalties</t>
  </si>
  <si>
    <t>Taxes</t>
  </si>
  <si>
    <t>Laboratory</t>
  </si>
  <si>
    <t>Labor Cost</t>
  </si>
  <si>
    <t>Description</t>
  </si>
  <si>
    <t>Fluid</t>
  </si>
  <si>
    <t>Rate</t>
  </si>
  <si>
    <t>Units</t>
  </si>
  <si>
    <t>Rate Units</t>
  </si>
  <si>
    <t>Cost per Hour</t>
  </si>
  <si>
    <t>Cooling Water</t>
  </si>
  <si>
    <t>Water</t>
  </si>
  <si>
    <t>MMGAL</t>
  </si>
  <si>
    <t>MMGAL/H</t>
  </si>
  <si>
    <t>Steam @400PSI</t>
  </si>
  <si>
    <t>Steam</t>
  </si>
  <si>
    <t>KLB</t>
  </si>
  <si>
    <t>KLB/H</t>
  </si>
  <si>
    <t xml:space="preserve">Total Equipement </t>
  </si>
  <si>
    <t>Volume (Cubic Feet)</t>
  </si>
  <si>
    <t>CO2 Stripper</t>
  </si>
  <si>
    <t>Heat Transfer Area (square feet)</t>
  </si>
  <si>
    <t>Area (square feet)</t>
  </si>
  <si>
    <t>($/hr)</t>
  </si>
  <si>
    <t>Flash 1</t>
  </si>
  <si>
    <t>Flash 2</t>
  </si>
  <si>
    <t>Flash 3</t>
  </si>
  <si>
    <t>Flash 4</t>
  </si>
  <si>
    <t>Flash 5</t>
  </si>
  <si>
    <t>Heater 1</t>
  </si>
  <si>
    <t>Heater 2</t>
  </si>
  <si>
    <t>Heater 3</t>
  </si>
  <si>
    <t>(Qty)</t>
  </si>
  <si>
    <t>Stripper Cond</t>
  </si>
  <si>
    <t>Stripper Cond Acc</t>
  </si>
  <si>
    <t>Stripper Reboiler</t>
  </si>
  <si>
    <t>Stripper Reflux Pump</t>
  </si>
  <si>
    <t>WGS Reactor</t>
  </si>
  <si>
    <t>Source</t>
  </si>
  <si>
    <t>Aspen</t>
  </si>
  <si>
    <t>KFO</t>
  </si>
  <si>
    <t>Tube Filter</t>
  </si>
  <si>
    <t>Assuming the factor sizing with a residence time of 2.5sec</t>
  </si>
  <si>
    <t>Cost ($)</t>
  </si>
  <si>
    <t>Cost Year</t>
  </si>
  <si>
    <t>Index</t>
  </si>
  <si>
    <t>Total Cost</t>
  </si>
  <si>
    <t>included in caputure plant</t>
  </si>
  <si>
    <t>included in stripper</t>
  </si>
  <si>
    <t xml:space="preserve"> </t>
  </si>
  <si>
    <t>Claus Plant</t>
  </si>
  <si>
    <t xml:space="preserve">NETL </t>
  </si>
  <si>
    <t xml:space="preserve">sulfur </t>
  </si>
  <si>
    <t>216 ton of CO2 per day at $ 20/ton</t>
  </si>
  <si>
    <t>Salaries and Fringes (including laboratory cost)</t>
  </si>
  <si>
    <t>5% of cap cost</t>
  </si>
  <si>
    <t>insurance</t>
  </si>
  <si>
    <t>interest</t>
  </si>
  <si>
    <t>(based on the fact that It will take three years to build the plant)</t>
  </si>
  <si>
    <t>operating labor cost</t>
  </si>
  <si>
    <t>shifts</t>
  </si>
  <si>
    <t xml:space="preserve">operator per shift </t>
  </si>
  <si>
    <t>additional operators</t>
  </si>
  <si>
    <t>total operators</t>
  </si>
  <si>
    <t>salary ($25/hr)</t>
  </si>
  <si>
    <t>per operator</t>
  </si>
  <si>
    <t>total salary</t>
  </si>
  <si>
    <t>Fringes</t>
  </si>
  <si>
    <t xml:space="preserve">10 managers </t>
  </si>
  <si>
    <t>based on 75000$ /year</t>
  </si>
  <si>
    <t>fringes</t>
  </si>
  <si>
    <t>totoal salaries</t>
  </si>
  <si>
    <t>1650 ton of syngas at $170/ton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</si>
</sst>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0.000E+00"/>
    <numFmt numFmtId="165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u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68">
    <xf numFmtId="0" fontId="0" fillId="0" borderId="0" xfId="0"/>
    <xf numFmtId="0" fontId="1" fillId="0" borderId="0" xfId="0" applyFont="1"/>
    <xf numFmtId="0" fontId="0" fillId="0" borderId="0" xfId="0" applyAlignment="1">
      <alignment horizontal="left" vertical="center" wrapText="1"/>
    </xf>
    <xf numFmtId="8" fontId="0" fillId="0" borderId="0" xfId="0" applyNumberFormat="1"/>
    <xf numFmtId="10" fontId="0" fillId="0" borderId="0" xfId="0" applyNumberFormat="1"/>
    <xf numFmtId="0" fontId="4" fillId="0" borderId="0" xfId="0" applyFont="1"/>
    <xf numFmtId="3" fontId="0" fillId="0" borderId="0" xfId="0" applyNumberFormat="1"/>
    <xf numFmtId="0" fontId="5" fillId="0" borderId="0" xfId="0" applyFont="1"/>
    <xf numFmtId="3" fontId="6" fillId="0" borderId="0" xfId="0" applyNumberFormat="1" applyFont="1"/>
    <xf numFmtId="0" fontId="6" fillId="0" borderId="0" xfId="0" applyFont="1"/>
    <xf numFmtId="38" fontId="0" fillId="0" borderId="0" xfId="0" applyNumberFormat="1"/>
    <xf numFmtId="6" fontId="0" fillId="0" borderId="0" xfId="0" applyNumberFormat="1"/>
    <xf numFmtId="44" fontId="0" fillId="0" borderId="0" xfId="1" applyFont="1"/>
    <xf numFmtId="44" fontId="0" fillId="3" borderId="0" xfId="1" applyFont="1" applyFill="1"/>
    <xf numFmtId="0" fontId="5" fillId="2" borderId="0" xfId="0" applyFont="1" applyFill="1"/>
    <xf numFmtId="0" fontId="0" fillId="2" borderId="0" xfId="0" applyFill="1"/>
    <xf numFmtId="0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8" fontId="0" fillId="0" borderId="0" xfId="0" applyNumberFormat="1" applyAlignment="1">
      <alignment horizontal="center"/>
    </xf>
    <xf numFmtId="0" fontId="1" fillId="0" borderId="0" xfId="0" applyFont="1" applyFill="1" applyAlignment="1">
      <alignment wrapText="1"/>
    </xf>
    <xf numFmtId="0" fontId="1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8" fontId="0" fillId="3" borderId="0" xfId="1" applyNumberFormat="1" applyFont="1" applyFill="1"/>
    <xf numFmtId="44" fontId="6" fillId="3" borderId="0" xfId="1" applyFont="1" applyFill="1"/>
    <xf numFmtId="44" fontId="6" fillId="0" borderId="0" xfId="1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7" borderId="0" xfId="0" applyFont="1" applyFill="1" applyAlignment="1">
      <alignment wrapText="1"/>
    </xf>
    <xf numFmtId="165" fontId="1" fillId="7" borderId="0" xfId="0" applyNumberFormat="1" applyFont="1" applyFill="1" applyAlignment="1">
      <alignment wrapText="1"/>
    </xf>
    <xf numFmtId="0" fontId="1" fillId="7" borderId="0" xfId="0" applyNumberFormat="1" applyFont="1" applyFill="1" applyAlignment="1">
      <alignment horizontal="center" wrapText="1"/>
    </xf>
    <xf numFmtId="0" fontId="1" fillId="8" borderId="0" xfId="0" applyNumberFormat="1" applyFont="1" applyFill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165" fontId="0" fillId="0" borderId="0" xfId="0" applyNumberFormat="1" applyAlignment="1">
      <alignment wrapText="1"/>
    </xf>
    <xf numFmtId="0" fontId="0" fillId="0" borderId="0" xfId="0" applyNumberFormat="1" applyAlignment="1">
      <alignment horizontal="center" wrapText="1"/>
    </xf>
    <xf numFmtId="0" fontId="1" fillId="4" borderId="0" xfId="0" applyFont="1" applyFill="1" applyAlignment="1">
      <alignment wrapText="1"/>
    </xf>
    <xf numFmtId="44" fontId="0" fillId="0" borderId="0" xfId="0" applyNumberFormat="1" applyAlignment="1">
      <alignment wrapText="1"/>
    </xf>
    <xf numFmtId="44" fontId="0" fillId="0" borderId="0" xfId="1" applyFont="1" applyAlignment="1">
      <alignment wrapText="1"/>
    </xf>
    <xf numFmtId="44" fontId="0" fillId="0" borderId="0" xfId="1" applyFont="1" applyAlignment="1">
      <alignment horizontal="center" wrapText="1"/>
    </xf>
    <xf numFmtId="0" fontId="1" fillId="3" borderId="0" xfId="0" applyFont="1" applyFill="1" applyAlignment="1">
      <alignment wrapText="1"/>
    </xf>
    <xf numFmtId="164" fontId="0" fillId="0" borderId="0" xfId="0" applyNumberFormat="1" applyAlignment="1">
      <alignment wrapText="1"/>
    </xf>
    <xf numFmtId="0" fontId="8" fillId="6" borderId="1" xfId="0" applyFont="1" applyFill="1" applyBorder="1" applyAlignment="1">
      <alignment horizontal="left"/>
    </xf>
    <xf numFmtId="0" fontId="8" fillId="6" borderId="1" xfId="0" applyFont="1" applyFill="1" applyBorder="1" applyAlignment="1">
      <alignment horizontal="right"/>
    </xf>
    <xf numFmtId="0" fontId="0" fillId="6" borderId="0" xfId="0" applyFill="1"/>
    <xf numFmtId="0" fontId="1" fillId="6" borderId="3" xfId="0" applyFont="1" applyFill="1" applyBorder="1"/>
    <xf numFmtId="0" fontId="3" fillId="6" borderId="2" xfId="0" applyFont="1" applyFill="1" applyBorder="1"/>
    <xf numFmtId="0" fontId="0" fillId="0" borderId="0" xfId="0" applyAlignment="1">
      <alignment horizontal="center"/>
    </xf>
    <xf numFmtId="0" fontId="1" fillId="8" borderId="0" xfId="0" applyFont="1" applyFill="1" applyAlignment="1">
      <alignment horizontal="center" wrapText="1"/>
    </xf>
    <xf numFmtId="44" fontId="0" fillId="0" borderId="0" xfId="0" applyNumberFormat="1" applyAlignment="1">
      <alignment horizontal="center"/>
    </xf>
    <xf numFmtId="165" fontId="1" fillId="8" borderId="0" xfId="0" applyNumberFormat="1" applyFont="1" applyFill="1" applyAlignment="1">
      <alignment horizontal="center" wrapText="1"/>
    </xf>
    <xf numFmtId="0" fontId="1" fillId="8" borderId="0" xfId="0" applyFont="1" applyFill="1" applyAlignment="1">
      <alignment horizontal="center"/>
    </xf>
    <xf numFmtId="165" fontId="0" fillId="0" borderId="0" xfId="0" applyNumberFormat="1" applyFont="1" applyFill="1" applyAlignment="1">
      <alignment horizontal="center" wrapText="1"/>
    </xf>
    <xf numFmtId="165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0" fontId="1" fillId="7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9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Fill="1" applyAlignment="1">
      <alignment horizontal="center" wrapText="1"/>
    </xf>
    <xf numFmtId="165" fontId="1" fillId="0" borderId="0" xfId="0" applyNumberFormat="1" applyFont="1" applyFill="1" applyAlignment="1">
      <alignment horizontal="center" wrapText="1"/>
    </xf>
    <xf numFmtId="165" fontId="0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center"/>
    </xf>
    <xf numFmtId="165" fontId="0" fillId="0" borderId="0" xfId="0" applyNumberFormat="1" applyFont="1" applyFill="1" applyAlignment="1">
      <alignment horizontal="center"/>
    </xf>
    <xf numFmtId="165" fontId="0" fillId="0" borderId="0" xfId="0" applyNumberFormat="1"/>
    <xf numFmtId="165" fontId="0" fillId="0" borderId="0" xfId="1" applyNumberFormat="1" applyFont="1"/>
    <xf numFmtId="9" fontId="0" fillId="0" borderId="0" xfId="0" applyNumberFormat="1"/>
    <xf numFmtId="0" fontId="1" fillId="8" borderId="0" xfId="0" applyFont="1" applyFill="1" applyAlignment="1">
      <alignment horizontal="center" wrapText="1"/>
    </xf>
    <xf numFmtId="0" fontId="1" fillId="5" borderId="0" xfId="0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conomics%20(6)%20(VP)%20(03.03.1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ement List"/>
      <sheetName val="Utilities"/>
      <sheetName val="Raw Materials"/>
      <sheetName val="Economics"/>
      <sheetName val="Jerry's Sample"/>
      <sheetName val="Sheet1"/>
    </sheetNames>
    <sheetDataSet>
      <sheetData sheetId="0"/>
      <sheetData sheetId="1"/>
      <sheetData sheetId="2">
        <row r="9">
          <cell r="K9">
            <v>1874885.04</v>
          </cell>
        </row>
        <row r="10">
          <cell r="K10">
            <v>33377909.039999999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zoomScale="70" zoomScaleNormal="7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G16" sqref="G16"/>
    </sheetView>
  </sheetViews>
  <sheetFormatPr defaultRowHeight="15" x14ac:dyDescent="0.25"/>
  <cols>
    <col min="1" max="1" width="9.140625" style="46" customWidth="1"/>
    <col min="2" max="2" width="22.42578125" style="17" customWidth="1"/>
    <col min="3" max="3" width="12.5703125" style="17" customWidth="1"/>
    <col min="4" max="4" width="11.5703125" style="46" customWidth="1"/>
    <col min="5" max="5" width="11.7109375" style="46" customWidth="1"/>
    <col min="6" max="6" width="18.42578125" style="46" customWidth="1"/>
    <col min="7" max="7" width="17.85546875" style="60" customWidth="1"/>
    <col min="8" max="8" width="16.42578125" style="16" customWidth="1"/>
    <col min="9" max="9" width="20.85546875" style="52" customWidth="1"/>
    <col min="10" max="10" width="20.85546875" style="16" customWidth="1"/>
    <col min="11" max="11" width="19.42578125" style="52" customWidth="1"/>
    <col min="12" max="12" width="9.140625" style="46"/>
    <col min="13" max="13" width="16.140625" style="46" customWidth="1"/>
    <col min="14" max="14" width="17" style="46" customWidth="1"/>
    <col min="15" max="15" width="18.5703125" style="46" customWidth="1"/>
    <col min="16" max="16384" width="9.140625" style="46"/>
  </cols>
  <sheetData>
    <row r="1" spans="1:16" ht="46.5" customHeight="1" x14ac:dyDescent="0.25">
      <c r="A1" s="47" t="s">
        <v>111</v>
      </c>
      <c r="B1" s="47" t="s">
        <v>14</v>
      </c>
      <c r="C1" s="47" t="s">
        <v>98</v>
      </c>
      <c r="D1" s="47" t="s">
        <v>101</v>
      </c>
      <c r="E1" s="47" t="s">
        <v>100</v>
      </c>
      <c r="F1" s="47" t="s">
        <v>23</v>
      </c>
      <c r="G1" s="49" t="s">
        <v>122</v>
      </c>
      <c r="H1" s="30" t="s">
        <v>123</v>
      </c>
      <c r="I1" s="49" t="s">
        <v>56</v>
      </c>
      <c r="J1" s="30" t="s">
        <v>124</v>
      </c>
      <c r="K1" s="49" t="s">
        <v>125</v>
      </c>
      <c r="L1" s="50" t="s">
        <v>117</v>
      </c>
      <c r="M1" s="66" t="s">
        <v>59</v>
      </c>
      <c r="N1" s="66"/>
      <c r="O1" s="66"/>
      <c r="P1" s="47"/>
    </row>
    <row r="2" spans="1:16" s="54" customFormat="1" x14ac:dyDescent="0.25">
      <c r="A2" s="21">
        <v>1</v>
      </c>
      <c r="B2" s="21" t="s">
        <v>64</v>
      </c>
      <c r="C2" s="21">
        <v>10737</v>
      </c>
      <c r="D2" s="21"/>
      <c r="E2" s="21"/>
      <c r="F2" s="21"/>
      <c r="G2" s="51">
        <v>1150000</v>
      </c>
      <c r="H2" s="20"/>
      <c r="I2" s="59"/>
      <c r="J2" s="20"/>
      <c r="K2" s="52">
        <v>1500000</v>
      </c>
      <c r="L2" s="61" t="s">
        <v>118</v>
      </c>
      <c r="M2" s="21"/>
      <c r="N2" s="21"/>
      <c r="O2" s="21"/>
      <c r="P2" s="21"/>
    </row>
    <row r="3" spans="1:16" x14ac:dyDescent="0.25">
      <c r="A3" s="21">
        <v>1</v>
      </c>
      <c r="B3" s="21" t="s">
        <v>65</v>
      </c>
      <c r="C3" s="21">
        <v>10737</v>
      </c>
      <c r="D3" s="21"/>
      <c r="E3" s="21"/>
      <c r="F3" s="21"/>
      <c r="G3" s="51">
        <f>G2</f>
        <v>1150000</v>
      </c>
      <c r="H3" s="20"/>
      <c r="I3" s="59"/>
      <c r="J3" s="20"/>
      <c r="K3" s="51">
        <f>K2</f>
        <v>1500000</v>
      </c>
      <c r="L3" s="61" t="s">
        <v>118</v>
      </c>
      <c r="M3" s="21"/>
      <c r="N3" s="21"/>
      <c r="O3" s="21"/>
      <c r="P3" s="21"/>
    </row>
    <row r="4" spans="1:16" x14ac:dyDescent="0.25">
      <c r="A4" s="17">
        <v>1</v>
      </c>
      <c r="B4" s="17" t="s">
        <v>57</v>
      </c>
      <c r="F4" s="18"/>
      <c r="K4" s="52">
        <f>100000000</f>
        <v>100000000</v>
      </c>
      <c r="L4" s="61" t="s">
        <v>119</v>
      </c>
    </row>
    <row r="5" spans="1:16" x14ac:dyDescent="0.25">
      <c r="A5" s="17">
        <v>1</v>
      </c>
      <c r="B5" s="17" t="s">
        <v>67</v>
      </c>
      <c r="F5" s="18"/>
      <c r="G5" s="60">
        <v>344200</v>
      </c>
      <c r="H5" s="16">
        <v>2007</v>
      </c>
      <c r="I5" s="52">
        <f>G5*(556.8/525.4)</f>
        <v>364770.76513132849</v>
      </c>
      <c r="J5" s="16">
        <v>1.4</v>
      </c>
      <c r="K5" s="52">
        <f>J5*I5</f>
        <v>510679.07118385984</v>
      </c>
      <c r="L5" s="61"/>
      <c r="N5" s="46" t="s">
        <v>120</v>
      </c>
    </row>
    <row r="6" spans="1:16" x14ac:dyDescent="0.25">
      <c r="A6" s="17">
        <v>1</v>
      </c>
      <c r="B6" s="17" t="s">
        <v>68</v>
      </c>
      <c r="C6" s="17">
        <v>450</v>
      </c>
      <c r="I6" s="52">
        <f>(556.8/525.4)*G6</f>
        <v>0</v>
      </c>
      <c r="K6" s="52">
        <f>I6*J6</f>
        <v>0</v>
      </c>
      <c r="L6" s="61"/>
      <c r="M6" s="25" t="s">
        <v>121</v>
      </c>
    </row>
    <row r="7" spans="1:16" x14ac:dyDescent="0.25">
      <c r="A7" s="17"/>
      <c r="B7" s="17" t="s">
        <v>129</v>
      </c>
      <c r="G7" s="60">
        <v>9000000</v>
      </c>
      <c r="K7" s="52">
        <f>G7</f>
        <v>9000000</v>
      </c>
      <c r="L7" s="53" t="s">
        <v>130</v>
      </c>
      <c r="M7" s="25"/>
    </row>
    <row r="8" spans="1:16" x14ac:dyDescent="0.25">
      <c r="A8" s="17">
        <v>1</v>
      </c>
      <c r="B8" s="17" t="s">
        <v>69</v>
      </c>
      <c r="G8" s="60">
        <v>52000000</v>
      </c>
      <c r="H8" s="16">
        <v>2009</v>
      </c>
      <c r="I8" s="52">
        <f>(556.8/521.9)*G8</f>
        <v>55477294.500862226</v>
      </c>
      <c r="K8" s="52">
        <f>I8</f>
        <v>55477294.500862226</v>
      </c>
      <c r="L8" s="61"/>
      <c r="N8" s="48"/>
    </row>
    <row r="9" spans="1:16" x14ac:dyDescent="0.25">
      <c r="A9" s="17">
        <v>1</v>
      </c>
      <c r="B9" s="17" t="s">
        <v>99</v>
      </c>
      <c r="C9" s="17">
        <v>2020</v>
      </c>
      <c r="G9" s="52" t="s">
        <v>126</v>
      </c>
      <c r="L9" s="61"/>
    </row>
    <row r="10" spans="1:16" x14ac:dyDescent="0.25">
      <c r="A10" s="17"/>
      <c r="B10" s="17" t="s">
        <v>70</v>
      </c>
      <c r="G10" s="60">
        <v>257500</v>
      </c>
      <c r="H10" s="16">
        <v>2007</v>
      </c>
      <c r="I10" s="52">
        <f>(556.8/525.4)*G10</f>
        <v>272889.22725542443</v>
      </c>
      <c r="J10" s="16">
        <v>1.5</v>
      </c>
      <c r="K10" s="52">
        <f>I10*J10</f>
        <v>409333.84088313661</v>
      </c>
      <c r="L10" s="61"/>
    </row>
    <row r="11" spans="1:16" x14ac:dyDescent="0.25">
      <c r="A11" s="17">
        <v>1</v>
      </c>
      <c r="B11" s="17" t="s">
        <v>16</v>
      </c>
      <c r="D11" s="17"/>
      <c r="E11" s="17">
        <v>6570.41</v>
      </c>
      <c r="F11" s="17">
        <v>4</v>
      </c>
      <c r="G11" s="60">
        <v>162300</v>
      </c>
      <c r="K11" s="52">
        <v>302500</v>
      </c>
      <c r="L11" s="61"/>
    </row>
    <row r="12" spans="1:16" s="56" customFormat="1" x14ac:dyDescent="0.25">
      <c r="A12" s="17">
        <v>1</v>
      </c>
      <c r="B12" s="17" t="s">
        <v>17</v>
      </c>
      <c r="C12" s="17"/>
      <c r="D12" s="17"/>
      <c r="E12" s="17">
        <v>6738.98</v>
      </c>
      <c r="F12" s="17">
        <v>1</v>
      </c>
      <c r="G12" s="60">
        <v>168800</v>
      </c>
      <c r="H12" s="16"/>
      <c r="I12" s="52"/>
      <c r="J12" s="16"/>
      <c r="K12" s="52">
        <v>320600</v>
      </c>
      <c r="L12" s="55"/>
      <c r="M12" s="46"/>
      <c r="N12" s="46"/>
      <c r="O12" s="46"/>
      <c r="P12" s="46"/>
    </row>
    <row r="13" spans="1:16" x14ac:dyDescent="0.25">
      <c r="A13" s="17">
        <v>1</v>
      </c>
      <c r="B13" s="17" t="s">
        <v>71</v>
      </c>
      <c r="D13" s="17"/>
      <c r="E13" s="17">
        <v>439.96</v>
      </c>
      <c r="F13" s="17"/>
      <c r="G13" s="60">
        <v>16700</v>
      </c>
      <c r="K13" s="52">
        <v>79200</v>
      </c>
      <c r="L13" s="61"/>
    </row>
    <row r="14" spans="1:16" x14ac:dyDescent="0.25">
      <c r="A14" s="17">
        <v>1</v>
      </c>
      <c r="B14" s="17" t="s">
        <v>72</v>
      </c>
      <c r="D14" s="17"/>
      <c r="E14" s="17">
        <v>257.97000000000003</v>
      </c>
      <c r="F14" s="17"/>
      <c r="G14" s="60">
        <v>13600</v>
      </c>
      <c r="K14" s="52">
        <v>73600</v>
      </c>
      <c r="L14" s="61"/>
    </row>
    <row r="15" spans="1:16" x14ac:dyDescent="0.25">
      <c r="A15" s="17">
        <v>1</v>
      </c>
      <c r="B15" s="17" t="s">
        <v>73</v>
      </c>
      <c r="D15" s="17"/>
      <c r="E15" s="17">
        <v>162.54</v>
      </c>
      <c r="F15" s="17"/>
      <c r="G15" s="60">
        <v>11800</v>
      </c>
      <c r="K15" s="52">
        <v>69800</v>
      </c>
      <c r="L15" s="61"/>
    </row>
    <row r="16" spans="1:16" x14ac:dyDescent="0.25">
      <c r="A16" s="17">
        <v>1</v>
      </c>
      <c r="B16" s="17" t="s">
        <v>24</v>
      </c>
      <c r="F16" s="18"/>
      <c r="G16" s="60">
        <v>102600</v>
      </c>
      <c r="K16" s="52">
        <v>159000</v>
      </c>
      <c r="L16" s="61"/>
    </row>
    <row r="17" spans="1:16" s="47" customFormat="1" x14ac:dyDescent="0.25">
      <c r="A17" s="17">
        <v>1</v>
      </c>
      <c r="B17" s="17" t="s">
        <v>103</v>
      </c>
      <c r="C17" s="17">
        <v>353.24</v>
      </c>
      <c r="D17" s="46"/>
      <c r="E17" s="46"/>
      <c r="F17" s="16"/>
      <c r="G17" s="51">
        <v>105989</v>
      </c>
      <c r="H17" s="16"/>
      <c r="I17" s="52"/>
      <c r="J17" s="16"/>
      <c r="K17" s="52">
        <v>135000</v>
      </c>
      <c r="L17" s="58" t="s">
        <v>118</v>
      </c>
      <c r="M17" s="46"/>
      <c r="N17" s="46"/>
      <c r="O17" s="46"/>
      <c r="P17" s="46"/>
    </row>
    <row r="18" spans="1:16" s="21" customFormat="1" x14ac:dyDescent="0.25">
      <c r="A18" s="17">
        <v>1</v>
      </c>
      <c r="B18" s="17" t="s">
        <v>104</v>
      </c>
      <c r="C18" s="17">
        <v>6980</v>
      </c>
      <c r="D18" s="46"/>
      <c r="E18" s="46"/>
      <c r="F18" s="16"/>
      <c r="G18" s="51">
        <v>601226</v>
      </c>
      <c r="H18" s="16"/>
      <c r="I18" s="52"/>
      <c r="J18" s="16"/>
      <c r="K18" s="52">
        <v>673100</v>
      </c>
      <c r="L18" s="58" t="s">
        <v>118</v>
      </c>
      <c r="M18" s="46"/>
      <c r="N18" s="46"/>
      <c r="O18" s="46"/>
      <c r="P18" s="46"/>
    </row>
    <row r="19" spans="1:16" s="21" customFormat="1" x14ac:dyDescent="0.25">
      <c r="A19" s="17">
        <v>1</v>
      </c>
      <c r="B19" s="17" t="s">
        <v>105</v>
      </c>
      <c r="C19" s="17">
        <v>680</v>
      </c>
      <c r="D19" s="46"/>
      <c r="E19" s="46"/>
      <c r="F19" s="16"/>
      <c r="G19" s="51">
        <v>86758</v>
      </c>
      <c r="H19" s="16"/>
      <c r="I19" s="52"/>
      <c r="J19" s="16"/>
      <c r="K19" s="52">
        <v>118600</v>
      </c>
      <c r="L19" s="58" t="s">
        <v>118</v>
      </c>
      <c r="M19" s="46"/>
      <c r="N19" s="46"/>
      <c r="O19" s="46"/>
      <c r="P19" s="46"/>
    </row>
    <row r="20" spans="1:16" x14ac:dyDescent="0.25">
      <c r="A20" s="17">
        <v>1</v>
      </c>
      <c r="B20" s="17" t="s">
        <v>106</v>
      </c>
      <c r="C20" s="17">
        <v>461.81</v>
      </c>
      <c r="F20" s="16"/>
      <c r="G20" s="60">
        <v>90009</v>
      </c>
      <c r="K20" s="52">
        <v>122400</v>
      </c>
      <c r="L20" s="57" t="s">
        <v>118</v>
      </c>
    </row>
    <row r="21" spans="1:16" x14ac:dyDescent="0.25">
      <c r="A21" s="17">
        <v>1</v>
      </c>
      <c r="B21" s="17" t="s">
        <v>107</v>
      </c>
      <c r="C21" s="17">
        <v>461.81</v>
      </c>
      <c r="F21" s="16"/>
      <c r="G21" s="60">
        <v>86266</v>
      </c>
      <c r="K21" s="52">
        <v>117000</v>
      </c>
      <c r="L21" s="46" t="s">
        <v>118</v>
      </c>
    </row>
    <row r="22" spans="1:16" x14ac:dyDescent="0.25">
      <c r="A22" s="17">
        <v>2</v>
      </c>
      <c r="B22" s="17" t="s">
        <v>15</v>
      </c>
      <c r="D22" s="17"/>
      <c r="E22" s="17"/>
      <c r="F22" s="17"/>
      <c r="G22" s="60">
        <f>A22*66000000</f>
        <v>132000000</v>
      </c>
      <c r="K22" s="52">
        <f>G22</f>
        <v>132000000</v>
      </c>
      <c r="L22" s="57"/>
      <c r="N22" s="46" t="s">
        <v>25</v>
      </c>
    </row>
    <row r="23" spans="1:16" x14ac:dyDescent="0.25">
      <c r="A23" s="17">
        <v>1</v>
      </c>
      <c r="B23" s="17" t="s">
        <v>108</v>
      </c>
      <c r="E23" s="46">
        <v>1574.11</v>
      </c>
      <c r="J23" s="16">
        <v>1.6</v>
      </c>
      <c r="L23" s="57"/>
    </row>
    <row r="24" spans="1:16" x14ac:dyDescent="0.25">
      <c r="A24" s="17">
        <v>1</v>
      </c>
      <c r="B24" s="17" t="s">
        <v>109</v>
      </c>
      <c r="E24" s="46">
        <v>996.3</v>
      </c>
      <c r="J24" s="16">
        <v>1.6</v>
      </c>
      <c r="L24" s="57"/>
    </row>
    <row r="25" spans="1:16" x14ac:dyDescent="0.25">
      <c r="A25" s="17">
        <v>1</v>
      </c>
      <c r="B25" s="17" t="s">
        <v>110</v>
      </c>
      <c r="E25" s="46">
        <v>992.06</v>
      </c>
      <c r="J25" s="16">
        <v>1.6</v>
      </c>
      <c r="L25" s="57"/>
    </row>
    <row r="26" spans="1:16" x14ac:dyDescent="0.25">
      <c r="A26" s="17">
        <v>1</v>
      </c>
      <c r="B26" s="17" t="s">
        <v>75</v>
      </c>
      <c r="E26" s="57">
        <v>491</v>
      </c>
      <c r="F26" s="17"/>
      <c r="G26" s="60">
        <v>55800</v>
      </c>
      <c r="H26" s="16">
        <v>2007</v>
      </c>
      <c r="I26" s="52">
        <f>(556.8/525.4)*G26</f>
        <v>59134.830605253141</v>
      </c>
      <c r="J26" s="16">
        <v>2.1</v>
      </c>
      <c r="K26" s="52">
        <f>I26*J26</f>
        <v>124183.1442710316</v>
      </c>
      <c r="L26" s="46" t="s">
        <v>118</v>
      </c>
    </row>
    <row r="27" spans="1:16" x14ac:dyDescent="0.25">
      <c r="A27" s="17">
        <v>1</v>
      </c>
      <c r="B27" s="17" t="s">
        <v>76</v>
      </c>
      <c r="E27" s="57">
        <v>2860</v>
      </c>
      <c r="F27" s="17"/>
      <c r="G27" s="60">
        <v>232700</v>
      </c>
      <c r="H27" s="16">
        <v>2007</v>
      </c>
      <c r="I27" s="52">
        <f>(556.8/525.4)*G27</f>
        <v>246607.08031975638</v>
      </c>
      <c r="J27" s="16">
        <v>2.1</v>
      </c>
      <c r="K27" s="52">
        <f>I27*J27</f>
        <v>517874.86867148842</v>
      </c>
      <c r="L27" s="46" t="s">
        <v>118</v>
      </c>
    </row>
    <row r="28" spans="1:16" x14ac:dyDescent="0.25">
      <c r="A28" s="17">
        <v>1</v>
      </c>
      <c r="B28" s="17" t="s">
        <v>77</v>
      </c>
      <c r="E28" s="57">
        <v>1200</v>
      </c>
      <c r="F28" s="17"/>
      <c r="G28" s="60">
        <v>115100</v>
      </c>
      <c r="H28" s="16">
        <v>2007</v>
      </c>
      <c r="I28" s="52">
        <f>(556.8/525.4)*G28</f>
        <v>121978.83517320137</v>
      </c>
      <c r="J28" s="16">
        <v>2.1</v>
      </c>
      <c r="K28" s="52">
        <f>I28*J28</f>
        <v>256155.55386372289</v>
      </c>
      <c r="L28" s="46" t="s">
        <v>118</v>
      </c>
    </row>
    <row r="29" spans="1:16" x14ac:dyDescent="0.25">
      <c r="A29" s="17">
        <v>1</v>
      </c>
      <c r="B29" s="17" t="s">
        <v>66</v>
      </c>
      <c r="D29" s="17"/>
      <c r="E29" s="57">
        <v>298.39999999999998</v>
      </c>
      <c r="F29" s="17"/>
      <c r="G29" s="60">
        <v>92300</v>
      </c>
      <c r="K29" s="52">
        <v>224300</v>
      </c>
      <c r="L29" s="46" t="s">
        <v>118</v>
      </c>
    </row>
    <row r="30" spans="1:16" x14ac:dyDescent="0.25">
      <c r="A30" s="17">
        <v>1</v>
      </c>
      <c r="B30" s="17" t="s">
        <v>78</v>
      </c>
      <c r="G30" s="60">
        <v>3778800</v>
      </c>
      <c r="H30" s="16">
        <v>1998</v>
      </c>
      <c r="I30" s="52">
        <f>(556.8/389.5)*G30</f>
        <v>5401889.191270859</v>
      </c>
      <c r="J30" s="16">
        <v>1.3</v>
      </c>
      <c r="K30" s="52">
        <f>I30*J30</f>
        <v>7022455.9486521166</v>
      </c>
      <c r="L30" s="57"/>
      <c r="N30" s="67" t="s">
        <v>60</v>
      </c>
      <c r="O30" s="67"/>
    </row>
    <row r="31" spans="1:16" x14ac:dyDescent="0.25">
      <c r="A31" s="17">
        <v>1</v>
      </c>
      <c r="B31" s="17" t="s">
        <v>61</v>
      </c>
      <c r="G31" s="52" t="s">
        <v>128</v>
      </c>
      <c r="H31" s="16">
        <v>2007</v>
      </c>
      <c r="I31" s="46"/>
      <c r="J31" s="16">
        <v>1.6</v>
      </c>
      <c r="K31" s="46"/>
      <c r="L31" s="57"/>
      <c r="N31" s="16" t="e">
        <f>(556.8/525.4)*G31</f>
        <v>#VALUE!</v>
      </c>
      <c r="O31" s="52" t="e">
        <f>N31*J31</f>
        <v>#VALUE!</v>
      </c>
    </row>
    <row r="32" spans="1:16" ht="18.75" customHeight="1" x14ac:dyDescent="0.25">
      <c r="A32" s="17">
        <v>1</v>
      </c>
      <c r="B32" s="17" t="s">
        <v>62</v>
      </c>
      <c r="J32" s="16">
        <v>1.6</v>
      </c>
      <c r="L32" s="57"/>
    </row>
    <row r="33" spans="1:12" ht="15" customHeight="1" x14ac:dyDescent="0.25">
      <c r="A33" s="17">
        <v>1</v>
      </c>
      <c r="B33" s="17" t="s">
        <v>63</v>
      </c>
      <c r="J33" s="16">
        <v>1.6</v>
      </c>
      <c r="L33" s="57"/>
    </row>
    <row r="34" spans="1:12" x14ac:dyDescent="0.25">
      <c r="A34" s="17">
        <v>2</v>
      </c>
      <c r="B34" s="17" t="s">
        <v>74</v>
      </c>
      <c r="C34" s="57">
        <v>6636.61</v>
      </c>
      <c r="F34" s="46">
        <v>56.4</v>
      </c>
      <c r="G34" s="60">
        <v>782300</v>
      </c>
      <c r="J34" s="16">
        <v>2.1</v>
      </c>
      <c r="K34" s="52">
        <v>178400</v>
      </c>
      <c r="L34" s="57" t="s">
        <v>118</v>
      </c>
    </row>
    <row r="35" spans="1:12" x14ac:dyDescent="0.25">
      <c r="A35" s="17">
        <v>2</v>
      </c>
      <c r="B35" s="17" t="s">
        <v>112</v>
      </c>
      <c r="E35" s="46">
        <v>1672.56</v>
      </c>
      <c r="G35" s="52" t="s">
        <v>127</v>
      </c>
      <c r="L35" s="57"/>
    </row>
    <row r="36" spans="1:12" x14ac:dyDescent="0.25">
      <c r="A36" s="17">
        <v>2</v>
      </c>
      <c r="B36" s="17" t="s">
        <v>113</v>
      </c>
      <c r="C36" s="46">
        <v>403.89</v>
      </c>
      <c r="G36" s="52" t="s">
        <v>127</v>
      </c>
      <c r="L36" s="57"/>
    </row>
    <row r="37" spans="1:12" x14ac:dyDescent="0.25">
      <c r="A37" s="17">
        <v>2</v>
      </c>
      <c r="B37" s="17" t="s">
        <v>114</v>
      </c>
      <c r="E37" s="46">
        <v>17754.3</v>
      </c>
      <c r="F37" s="46">
        <v>204</v>
      </c>
      <c r="G37" s="52" t="s">
        <v>127</v>
      </c>
      <c r="L37" s="57"/>
    </row>
    <row r="38" spans="1:12" x14ac:dyDescent="0.25">
      <c r="A38" s="17">
        <v>2</v>
      </c>
      <c r="B38" s="17" t="s">
        <v>115</v>
      </c>
      <c r="F38" s="46">
        <v>56.4</v>
      </c>
      <c r="G38" s="52" t="s">
        <v>127</v>
      </c>
      <c r="L38" s="57"/>
    </row>
    <row r="39" spans="1:12" x14ac:dyDescent="0.25">
      <c r="A39" s="17">
        <v>1</v>
      </c>
      <c r="B39" s="17" t="s">
        <v>116</v>
      </c>
      <c r="C39" s="57">
        <v>144</v>
      </c>
      <c r="F39" s="46">
        <v>-16.5</v>
      </c>
      <c r="G39" s="52">
        <v>175042</v>
      </c>
      <c r="K39" s="62">
        <v>229100</v>
      </c>
      <c r="L39" s="57" t="s">
        <v>118</v>
      </c>
    </row>
    <row r="40" spans="1:12" x14ac:dyDescent="0.25">
      <c r="A40" s="17"/>
      <c r="L40" s="57"/>
    </row>
    <row r="41" spans="1:12" x14ac:dyDescent="0.25">
      <c r="A41" s="17"/>
      <c r="L41" s="57"/>
    </row>
    <row r="42" spans="1:12" x14ac:dyDescent="0.25">
      <c r="A42" s="17"/>
      <c r="B42" s="17" t="s">
        <v>97</v>
      </c>
      <c r="G42" s="60">
        <f>SUM(G2:G39)</f>
        <v>202579790</v>
      </c>
      <c r="I42" s="52">
        <f t="shared" ref="I42" si="0">(556.8/525.4)*G42</f>
        <v>214686766.41035402</v>
      </c>
      <c r="K42" s="52">
        <f>SUM(K2:K39)</f>
        <v>311120576.92838752</v>
      </c>
      <c r="L42" s="57"/>
    </row>
    <row r="43" spans="1:12" x14ac:dyDescent="0.25">
      <c r="A43" s="17"/>
      <c r="B43" s="17" t="s">
        <v>29</v>
      </c>
      <c r="G43" s="60">
        <f>K43</f>
        <v>310891476.92838752</v>
      </c>
      <c r="K43" s="52">
        <f>SUM(K2:K38)</f>
        <v>310891476.92838752</v>
      </c>
      <c r="L43" s="57"/>
    </row>
    <row r="44" spans="1:12" x14ac:dyDescent="0.25">
      <c r="A44" s="17"/>
      <c r="B44" s="17" t="s">
        <v>79</v>
      </c>
      <c r="L44" s="57"/>
    </row>
    <row r="45" spans="1:12" x14ac:dyDescent="0.25">
      <c r="A45" s="17"/>
      <c r="B45" s="17" t="s">
        <v>80</v>
      </c>
      <c r="L45" s="57"/>
    </row>
    <row r="46" spans="1:12" x14ac:dyDescent="0.25">
      <c r="A46" s="17"/>
      <c r="B46" s="17" t="s">
        <v>81</v>
      </c>
      <c r="L46" s="57"/>
    </row>
    <row r="47" spans="1:12" x14ac:dyDescent="0.25">
      <c r="A47" s="17"/>
      <c r="B47" s="17" t="s">
        <v>58</v>
      </c>
      <c r="L47" s="57"/>
    </row>
    <row r="48" spans="1:12" x14ac:dyDescent="0.25">
      <c r="A48" s="17"/>
      <c r="B48" s="17" t="s">
        <v>82</v>
      </c>
      <c r="D48" s="46">
        <v>8.5000000000000006E-2</v>
      </c>
      <c r="F48" s="48">
        <f>D48*G43</f>
        <v>26425775.538912941</v>
      </c>
      <c r="L48" s="57"/>
    </row>
    <row r="49" spans="1:12" x14ac:dyDescent="0.25">
      <c r="A49" s="17"/>
      <c r="D49" s="46">
        <v>0.1</v>
      </c>
      <c r="F49" s="48">
        <f>D49*G43</f>
        <v>31089147.692838755</v>
      </c>
      <c r="L49" s="57"/>
    </row>
    <row r="50" spans="1:12" x14ac:dyDescent="0.25">
      <c r="A50" s="17"/>
      <c r="L50" s="57"/>
    </row>
    <row r="51" spans="1:12" x14ac:dyDescent="0.25">
      <c r="A51" s="17"/>
    </row>
  </sheetData>
  <sortState ref="B18:K41">
    <sortCondition ref="B18:B41"/>
  </sortState>
  <customSheetViews>
    <customSheetView guid="{7DCB9960-08D5-4449-90C1-2359FB89137D}">
      <selection activeCell="G11" sqref="G11"/>
      <pageMargins left="0.7" right="0.7" top="0.75" bottom="0.75" header="0.3" footer="0.3"/>
      <pageSetup orientation="portrait" horizontalDpi="300" verticalDpi="0" r:id="rId1"/>
    </customSheetView>
  </customSheetViews>
  <mergeCells count="2">
    <mergeCell ref="M1:O1"/>
    <mergeCell ref="N30:O30"/>
  </mergeCells>
  <pageMargins left="0.7" right="0.7" top="0.75" bottom="0.75" header="0.3" footer="0.3"/>
  <pageSetup orientation="portrait" horizontalDpi="30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zoomScale="90" zoomScaleNormal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2" max="2" width="16" customWidth="1"/>
    <col min="3" max="3" width="5.140625" customWidth="1"/>
    <col min="6" max="6" width="15.42578125" customWidth="1"/>
    <col min="7" max="7" width="13.28515625" customWidth="1"/>
    <col min="8" max="8" width="5.7109375" customWidth="1"/>
    <col min="9" max="9" width="12.85546875" customWidth="1"/>
    <col min="11" max="11" width="22.85546875" customWidth="1"/>
  </cols>
  <sheetData>
    <row r="1" spans="1:14" ht="45" x14ac:dyDescent="0.25">
      <c r="A1" s="31"/>
      <c r="B1" s="32"/>
      <c r="C1" s="32"/>
      <c r="D1" s="31"/>
      <c r="E1" s="31"/>
      <c r="F1" s="31"/>
      <c r="G1" s="33"/>
      <c r="H1" s="34"/>
      <c r="I1" s="31"/>
      <c r="J1" s="34"/>
      <c r="K1" s="2" t="s">
        <v>26</v>
      </c>
      <c r="L1" s="31"/>
      <c r="M1" s="31"/>
      <c r="N1" s="31"/>
    </row>
    <row r="2" spans="1:14" ht="30" x14ac:dyDescent="0.25">
      <c r="A2" s="27"/>
      <c r="B2" s="27" t="s">
        <v>0</v>
      </c>
      <c r="C2" s="27"/>
      <c r="D2" s="27" t="s">
        <v>7</v>
      </c>
      <c r="E2" s="27"/>
      <c r="F2" s="27" t="s">
        <v>5</v>
      </c>
      <c r="G2" s="28"/>
      <c r="H2" s="29"/>
      <c r="I2" s="27" t="s">
        <v>6</v>
      </c>
      <c r="J2" s="29"/>
      <c r="K2" s="27" t="s">
        <v>13</v>
      </c>
      <c r="L2" s="27" t="s">
        <v>10</v>
      </c>
      <c r="M2" s="27" t="s">
        <v>11</v>
      </c>
      <c r="N2" s="27"/>
    </row>
    <row r="3" spans="1:14" x14ac:dyDescent="0.25">
      <c r="A3" s="31"/>
      <c r="B3" s="35" t="s">
        <v>1</v>
      </c>
      <c r="C3" s="35"/>
      <c r="D3" s="31">
        <v>2000</v>
      </c>
      <c r="E3" s="31"/>
      <c r="F3" s="36">
        <v>45</v>
      </c>
      <c r="G3" s="33" t="s">
        <v>8</v>
      </c>
      <c r="H3" s="34"/>
      <c r="I3" s="37">
        <f>F3*D3</f>
        <v>90000</v>
      </c>
      <c r="J3" s="38"/>
      <c r="K3" s="37">
        <f t="shared" ref="K3:K8" si="0">I3*350</f>
        <v>31500000</v>
      </c>
      <c r="L3" s="31">
        <v>2008</v>
      </c>
      <c r="M3" s="31"/>
      <c r="N3" s="31"/>
    </row>
    <row r="4" spans="1:14" ht="30" x14ac:dyDescent="0.25">
      <c r="A4" s="31"/>
      <c r="B4" s="39" t="s">
        <v>18</v>
      </c>
      <c r="C4" s="39"/>
      <c r="D4" s="31">
        <v>0.48</v>
      </c>
      <c r="E4" s="31"/>
      <c r="F4" s="36">
        <v>18</v>
      </c>
      <c r="G4" s="33" t="s">
        <v>20</v>
      </c>
      <c r="H4" s="34"/>
      <c r="I4" s="37">
        <f>F4*D4</f>
        <v>8.64</v>
      </c>
      <c r="J4" s="38"/>
      <c r="K4" s="37">
        <f t="shared" si="0"/>
        <v>3024</v>
      </c>
      <c r="L4" s="31">
        <v>2011</v>
      </c>
      <c r="M4" s="31"/>
      <c r="N4" s="31" t="s">
        <v>21</v>
      </c>
    </row>
    <row r="5" spans="1:14" x14ac:dyDescent="0.25">
      <c r="A5" s="31"/>
      <c r="B5" s="19" t="s">
        <v>2</v>
      </c>
      <c r="C5" s="19"/>
      <c r="D5" s="31"/>
      <c r="E5" s="31"/>
      <c r="F5" s="36">
        <v>1.33</v>
      </c>
      <c r="G5" s="33" t="s">
        <v>12</v>
      </c>
      <c r="H5" s="34"/>
      <c r="I5" s="37">
        <f>F5*D5</f>
        <v>0</v>
      </c>
      <c r="J5" s="38"/>
      <c r="K5" s="37">
        <f t="shared" si="0"/>
        <v>0</v>
      </c>
      <c r="L5" s="31">
        <v>2011</v>
      </c>
      <c r="M5" s="31"/>
      <c r="N5" s="31"/>
    </row>
    <row r="6" spans="1:14" x14ac:dyDescent="0.25">
      <c r="A6" s="31"/>
      <c r="B6" s="32" t="s">
        <v>3</v>
      </c>
      <c r="C6" s="32"/>
      <c r="D6" s="31"/>
      <c r="E6" s="31"/>
      <c r="F6" s="36">
        <v>2548.75</v>
      </c>
      <c r="G6" s="33" t="s">
        <v>22</v>
      </c>
      <c r="H6" s="34"/>
      <c r="I6" s="37"/>
      <c r="J6" s="38"/>
      <c r="K6" s="37">
        <f t="shared" si="0"/>
        <v>0</v>
      </c>
      <c r="L6" s="31"/>
      <c r="M6" s="31"/>
      <c r="N6" s="31"/>
    </row>
    <row r="7" spans="1:14" x14ac:dyDescent="0.25">
      <c r="A7" s="31"/>
      <c r="B7" s="32" t="s">
        <v>4</v>
      </c>
      <c r="C7" s="32"/>
      <c r="D7" s="31"/>
      <c r="E7" s="31"/>
      <c r="F7" s="36"/>
      <c r="G7" s="33"/>
      <c r="H7" s="34"/>
      <c r="I7" s="37"/>
      <c r="J7" s="38"/>
      <c r="K7" s="37">
        <f t="shared" si="0"/>
        <v>0</v>
      </c>
      <c r="L7" s="31"/>
      <c r="M7" s="31"/>
      <c r="N7" s="31"/>
    </row>
    <row r="8" spans="1:14" x14ac:dyDescent="0.25">
      <c r="A8" s="31"/>
      <c r="B8" s="32" t="s">
        <v>9</v>
      </c>
      <c r="C8" s="32"/>
      <c r="D8" s="31"/>
      <c r="E8" s="31"/>
      <c r="F8" s="36">
        <v>223.20060000000001</v>
      </c>
      <c r="G8" s="33" t="s">
        <v>102</v>
      </c>
      <c r="H8" s="34"/>
      <c r="I8" s="37">
        <f>F8*24</f>
        <v>5356.8144000000002</v>
      </c>
      <c r="J8" s="38"/>
      <c r="K8" s="37">
        <f t="shared" si="0"/>
        <v>1874885.04</v>
      </c>
      <c r="L8" s="31">
        <v>2011</v>
      </c>
      <c r="M8" s="31"/>
      <c r="N8" s="31"/>
    </row>
    <row r="9" spans="1:14" x14ac:dyDescent="0.25">
      <c r="A9" s="31"/>
      <c r="B9" s="32"/>
      <c r="C9" s="32"/>
      <c r="D9" s="31"/>
      <c r="E9" s="31"/>
      <c r="F9" s="31"/>
      <c r="G9" s="33"/>
      <c r="H9" s="34"/>
      <c r="I9" s="37">
        <f>SUM(I3:I8)</f>
        <v>95365.454400000002</v>
      </c>
      <c r="J9" s="38"/>
      <c r="K9" s="37">
        <f>SUM(K3:K8)</f>
        <v>33377909.039999999</v>
      </c>
      <c r="L9" s="31"/>
      <c r="M9" s="31"/>
      <c r="N9" s="31"/>
    </row>
    <row r="10" spans="1:14" x14ac:dyDescent="0.25">
      <c r="A10" s="31"/>
      <c r="B10" s="32"/>
      <c r="C10" s="32"/>
      <c r="D10" s="31"/>
      <c r="E10" s="31"/>
      <c r="F10" s="31"/>
      <c r="G10" s="33"/>
      <c r="H10" s="34"/>
      <c r="I10" s="40"/>
      <c r="J10" s="34"/>
      <c r="K10" s="40"/>
      <c r="L10" s="31"/>
      <c r="M10" s="31"/>
      <c r="N10" s="3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B28" sqref="B28"/>
    </sheetView>
  </sheetViews>
  <sheetFormatPr defaultRowHeight="15" x14ac:dyDescent="0.25"/>
  <cols>
    <col min="6" max="6" width="12.28515625" customWidth="1"/>
    <col min="7" max="7" width="12.140625" customWidth="1"/>
    <col min="8" max="8" width="11.5703125" customWidth="1"/>
    <col min="9" max="9" width="14.140625" customWidth="1"/>
  </cols>
  <sheetData>
    <row r="1" spans="1:9" s="43" customFormat="1" x14ac:dyDescent="0.25">
      <c r="A1" s="44" t="s">
        <v>19</v>
      </c>
      <c r="B1" s="45"/>
      <c r="C1" s="41" t="s">
        <v>83</v>
      </c>
      <c r="D1" s="41"/>
      <c r="E1" s="41" t="s">
        <v>84</v>
      </c>
      <c r="F1" s="42" t="s">
        <v>85</v>
      </c>
      <c r="G1" s="41" t="s">
        <v>86</v>
      </c>
      <c r="H1" s="41" t="s">
        <v>87</v>
      </c>
      <c r="I1" s="42" t="s">
        <v>88</v>
      </c>
    </row>
    <row r="2" spans="1:9" x14ac:dyDescent="0.25">
      <c r="A2" s="1"/>
      <c r="B2" s="1"/>
      <c r="C2" s="25"/>
      <c r="D2" s="25"/>
      <c r="E2" s="25"/>
      <c r="F2" s="26"/>
      <c r="G2" s="25"/>
      <c r="H2" s="25"/>
      <c r="I2" s="26"/>
    </row>
    <row r="3" spans="1:9" x14ac:dyDescent="0.25">
      <c r="A3" s="1"/>
      <c r="B3" s="1"/>
      <c r="C3" s="25" t="s">
        <v>89</v>
      </c>
      <c r="D3" s="25"/>
      <c r="E3" s="25" t="s">
        <v>90</v>
      </c>
      <c r="F3" s="26">
        <v>1.8600049999999999</v>
      </c>
      <c r="G3" s="25" t="s">
        <v>91</v>
      </c>
      <c r="H3" s="25" t="s">
        <v>92</v>
      </c>
      <c r="I3" s="26">
        <v>223.20060000000001</v>
      </c>
    </row>
    <row r="4" spans="1:9" x14ac:dyDescent="0.25">
      <c r="A4" s="1"/>
      <c r="B4" s="1"/>
      <c r="C4" s="25" t="s">
        <v>93</v>
      </c>
      <c r="D4" s="25"/>
      <c r="E4" s="25" t="s">
        <v>94</v>
      </c>
      <c r="F4" s="26">
        <v>7.8326380000000002</v>
      </c>
      <c r="G4" s="25" t="s">
        <v>95</v>
      </c>
      <c r="H4" s="25" t="s">
        <v>96</v>
      </c>
      <c r="I4" s="26">
        <v>91.720191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A53"/>
  <sheetViews>
    <sheetView tabSelected="1" zoomScale="80" zoomScaleNormal="80" workbookViewId="0">
      <pane xSplit="2" ySplit="5" topLeftCell="R6" activePane="bottomRight" state="frozen"/>
      <selection pane="topRight" activeCell="C1" sqref="C1"/>
      <selection pane="bottomLeft" activeCell="A6" sqref="A6"/>
      <selection pane="bottomRight" activeCell="B16" sqref="B16"/>
    </sheetView>
  </sheetViews>
  <sheetFormatPr defaultRowHeight="15" x14ac:dyDescent="0.25"/>
  <cols>
    <col min="1" max="1" width="15.5703125" customWidth="1"/>
    <col min="2" max="2" width="16.85546875" customWidth="1"/>
    <col min="3" max="4" width="17.7109375" customWidth="1"/>
    <col min="5" max="5" width="16.7109375" customWidth="1"/>
    <col min="6" max="6" width="17" customWidth="1"/>
    <col min="7" max="7" width="18.85546875" customWidth="1"/>
    <col min="8" max="8" width="16.85546875" customWidth="1"/>
    <col min="9" max="9" width="18.28515625" customWidth="1"/>
    <col min="10" max="10" width="16.7109375" customWidth="1"/>
    <col min="11" max="11" width="16.85546875" customWidth="1"/>
    <col min="12" max="12" width="17.85546875" customWidth="1"/>
    <col min="13" max="13" width="16.85546875" customWidth="1"/>
    <col min="14" max="14" width="17.42578125" customWidth="1"/>
    <col min="15" max="16" width="16.85546875" customWidth="1"/>
    <col min="17" max="17" width="17.5703125" customWidth="1"/>
    <col min="18" max="18" width="17.140625" customWidth="1"/>
    <col min="19" max="19" width="16.85546875" customWidth="1"/>
    <col min="20" max="20" width="17.140625" customWidth="1"/>
    <col min="21" max="21" width="16.85546875" customWidth="1"/>
    <col min="22" max="23" width="16.7109375" customWidth="1"/>
    <col min="24" max="25" width="17.42578125" customWidth="1"/>
    <col min="26" max="26" width="16.85546875" customWidth="1"/>
    <col min="27" max="27" width="24.28515625" customWidth="1"/>
  </cols>
  <sheetData>
    <row r="3" spans="1:27" x14ac:dyDescent="0.25">
      <c r="C3" s="5" t="s">
        <v>27</v>
      </c>
    </row>
    <row r="4" spans="1:27" x14ac:dyDescent="0.25">
      <c r="C4" s="5"/>
    </row>
    <row r="5" spans="1:27" x14ac:dyDescent="0.25">
      <c r="A5" t="s">
        <v>28</v>
      </c>
      <c r="B5">
        <v>0</v>
      </c>
      <c r="C5">
        <v>1</v>
      </c>
      <c r="D5">
        <v>2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11</v>
      </c>
      <c r="N5">
        <v>12</v>
      </c>
      <c r="O5">
        <v>13</v>
      </c>
      <c r="P5">
        <v>14</v>
      </c>
      <c r="Q5">
        <v>15</v>
      </c>
      <c r="R5">
        <v>16</v>
      </c>
      <c r="S5">
        <v>17</v>
      </c>
      <c r="T5">
        <v>18</v>
      </c>
      <c r="U5">
        <v>19</v>
      </c>
      <c r="V5">
        <v>20</v>
      </c>
      <c r="W5">
        <v>21</v>
      </c>
      <c r="X5">
        <v>22</v>
      </c>
      <c r="Y5">
        <v>23</v>
      </c>
      <c r="Z5">
        <v>24</v>
      </c>
      <c r="AA5">
        <v>25</v>
      </c>
    </row>
    <row r="7" spans="1:27" x14ac:dyDescent="0.25">
      <c r="A7" s="5" t="s">
        <v>29</v>
      </c>
      <c r="B7" s="52">
        <v>-342757853.31354702</v>
      </c>
      <c r="C7" s="6"/>
    </row>
    <row r="8" spans="1:27" ht="75" x14ac:dyDescent="0.25">
      <c r="A8" s="32" t="s">
        <v>137</v>
      </c>
    </row>
    <row r="9" spans="1:27" x14ac:dyDescent="0.25">
      <c r="A9" s="7" t="s">
        <v>30</v>
      </c>
    </row>
    <row r="10" spans="1:27" x14ac:dyDescent="0.25">
      <c r="A10" t="s">
        <v>131</v>
      </c>
      <c r="C10" s="63">
        <f>100*10*350</f>
        <v>350000</v>
      </c>
      <c r="D10">
        <f>1.05*C10</f>
        <v>367500</v>
      </c>
      <c r="E10">
        <f t="shared" ref="E10:Z11" si="0">1.05*D10</f>
        <v>385875</v>
      </c>
      <c r="F10">
        <f t="shared" si="0"/>
        <v>405168.75</v>
      </c>
      <c r="G10">
        <f t="shared" si="0"/>
        <v>425427.1875</v>
      </c>
      <c r="H10">
        <f t="shared" si="0"/>
        <v>446698.546875</v>
      </c>
      <c r="I10">
        <f t="shared" si="0"/>
        <v>469033.47421875002</v>
      </c>
      <c r="J10">
        <f t="shared" si="0"/>
        <v>492485.14792968752</v>
      </c>
      <c r="K10">
        <f t="shared" si="0"/>
        <v>517109.40532617189</v>
      </c>
      <c r="L10">
        <f t="shared" si="0"/>
        <v>542964.87559248053</v>
      </c>
      <c r="M10">
        <f t="shared" si="0"/>
        <v>570113.11937210453</v>
      </c>
      <c r="N10">
        <f t="shared" si="0"/>
        <v>598618.77534070984</v>
      </c>
      <c r="O10">
        <f t="shared" si="0"/>
        <v>628549.71410774533</v>
      </c>
      <c r="P10">
        <f t="shared" si="0"/>
        <v>659977.19981313264</v>
      </c>
      <c r="Q10">
        <f t="shared" si="0"/>
        <v>692976.05980378925</v>
      </c>
      <c r="R10">
        <f t="shared" si="0"/>
        <v>727624.86279397877</v>
      </c>
      <c r="S10">
        <f t="shared" si="0"/>
        <v>764006.10593367775</v>
      </c>
      <c r="T10">
        <f t="shared" si="0"/>
        <v>802206.41123036167</v>
      </c>
      <c r="U10">
        <f t="shared" si="0"/>
        <v>842316.73179187975</v>
      </c>
      <c r="V10">
        <f t="shared" si="0"/>
        <v>884432.56838147377</v>
      </c>
      <c r="W10">
        <f t="shared" si="0"/>
        <v>928654.19680054754</v>
      </c>
      <c r="X10">
        <f t="shared" si="0"/>
        <v>975086.90664057492</v>
      </c>
      <c r="Y10">
        <f t="shared" si="0"/>
        <v>1023841.2519726037</v>
      </c>
      <c r="Z10">
        <f t="shared" si="0"/>
        <v>1075033.3145712339</v>
      </c>
      <c r="AA10">
        <f>1.05*Z10</f>
        <v>1128784.9802997957</v>
      </c>
    </row>
    <row r="11" spans="1:27" ht="45" x14ac:dyDescent="0.25">
      <c r="A11" s="31" t="s">
        <v>132</v>
      </c>
      <c r="C11" s="63">
        <f>500*40*350</f>
        <v>7000000</v>
      </c>
      <c r="D11" s="63">
        <f>1.05*C11</f>
        <v>7350000</v>
      </c>
      <c r="E11" s="63">
        <f t="shared" si="0"/>
        <v>7717500</v>
      </c>
      <c r="F11" s="63">
        <f t="shared" si="0"/>
        <v>8103375</v>
      </c>
      <c r="G11" s="63">
        <f t="shared" si="0"/>
        <v>8508543.75</v>
      </c>
      <c r="H11" s="63">
        <f t="shared" si="0"/>
        <v>8933970.9375</v>
      </c>
      <c r="I11" s="63">
        <f t="shared" si="0"/>
        <v>9380669.484375</v>
      </c>
      <c r="J11" s="63">
        <f t="shared" si="0"/>
        <v>9849702.9585937504</v>
      </c>
      <c r="K11" s="63">
        <f t="shared" si="0"/>
        <v>10342188.106523437</v>
      </c>
      <c r="L11" s="63">
        <f t="shared" si="0"/>
        <v>10859297.51184961</v>
      </c>
      <c r="M11" s="63">
        <f t="shared" si="0"/>
        <v>11402262.387442091</v>
      </c>
      <c r="N11" s="63">
        <f t="shared" si="0"/>
        <v>11972375.506814197</v>
      </c>
      <c r="O11" s="63">
        <f t="shared" si="0"/>
        <v>12570994.282154907</v>
      </c>
      <c r="P11" s="63">
        <f t="shared" si="0"/>
        <v>13199543.996262653</v>
      </c>
      <c r="Q11" s="63">
        <f t="shared" si="0"/>
        <v>13859521.196075786</v>
      </c>
      <c r="R11" s="63">
        <f t="shared" si="0"/>
        <v>14552497.255879575</v>
      </c>
      <c r="S11" s="63">
        <f t="shared" si="0"/>
        <v>15280122.118673556</v>
      </c>
      <c r="T11" s="63">
        <f t="shared" si="0"/>
        <v>16044128.224607235</v>
      </c>
      <c r="U11" s="63">
        <f t="shared" si="0"/>
        <v>16846334.635837596</v>
      </c>
      <c r="V11" s="63">
        <f t="shared" si="0"/>
        <v>17688651.367629476</v>
      </c>
      <c r="W11" s="63">
        <f t="shared" si="0"/>
        <v>18573083.936010949</v>
      </c>
      <c r="X11" s="63">
        <f t="shared" si="0"/>
        <v>19501738.132811498</v>
      </c>
      <c r="Y11" s="63">
        <f t="shared" si="0"/>
        <v>20476825.039452072</v>
      </c>
      <c r="Z11" s="63">
        <f t="shared" si="0"/>
        <v>21500666.291424677</v>
      </c>
      <c r="AA11" s="63">
        <f t="shared" ref="AA11" si="1">1.05*Z11</f>
        <v>22575699.605995912</v>
      </c>
    </row>
    <row r="12" spans="1:27" ht="45" x14ac:dyDescent="0.25">
      <c r="A12" s="31" t="s">
        <v>151</v>
      </c>
      <c r="C12" s="24">
        <f>1650*170*350</f>
        <v>98175000</v>
      </c>
      <c r="D12" s="24">
        <f>C12*1.05</f>
        <v>103083750</v>
      </c>
      <c r="E12" s="24">
        <f t="shared" ref="E12:AA12" si="2">D12*1.05</f>
        <v>108237937.5</v>
      </c>
      <c r="F12" s="24">
        <f t="shared" si="2"/>
        <v>113649834.375</v>
      </c>
      <c r="G12" s="24">
        <f t="shared" si="2"/>
        <v>119332326.09375</v>
      </c>
      <c r="H12" s="24">
        <f t="shared" si="2"/>
        <v>125298942.3984375</v>
      </c>
      <c r="I12" s="24">
        <f t="shared" si="2"/>
        <v>131563889.51835938</v>
      </c>
      <c r="J12" s="24">
        <f t="shared" si="2"/>
        <v>138142083.99427736</v>
      </c>
      <c r="K12" s="24">
        <f t="shared" si="2"/>
        <v>145049188.19399124</v>
      </c>
      <c r="L12" s="24">
        <f t="shared" si="2"/>
        <v>152301647.6036908</v>
      </c>
      <c r="M12" s="24">
        <f t="shared" si="2"/>
        <v>159916729.98387536</v>
      </c>
      <c r="N12" s="24">
        <f t="shared" si="2"/>
        <v>167912566.48306915</v>
      </c>
      <c r="O12" s="24">
        <f t="shared" si="2"/>
        <v>176308194.8072226</v>
      </c>
      <c r="P12" s="24">
        <f t="shared" si="2"/>
        <v>185123604.54758373</v>
      </c>
      <c r="Q12" s="24">
        <f t="shared" si="2"/>
        <v>194379784.77496293</v>
      </c>
      <c r="R12" s="24">
        <f t="shared" si="2"/>
        <v>204098774.01371109</v>
      </c>
      <c r="S12" s="24">
        <f t="shared" si="2"/>
        <v>214303712.71439666</v>
      </c>
      <c r="T12" s="24">
        <f t="shared" si="2"/>
        <v>225018898.35011649</v>
      </c>
      <c r="U12" s="24">
        <f t="shared" si="2"/>
        <v>236269843.26762232</v>
      </c>
      <c r="V12" s="24">
        <f t="shared" si="2"/>
        <v>248083335.43100345</v>
      </c>
      <c r="W12" s="24">
        <f t="shared" si="2"/>
        <v>260487502.20255363</v>
      </c>
      <c r="X12" s="24">
        <f t="shared" si="2"/>
        <v>273511877.31268132</v>
      </c>
      <c r="Y12" s="24">
        <f t="shared" si="2"/>
        <v>287187471.1783154</v>
      </c>
      <c r="Z12" s="24">
        <f t="shared" si="2"/>
        <v>301546844.73723119</v>
      </c>
      <c r="AA12" s="24">
        <f t="shared" si="2"/>
        <v>316624186.97409278</v>
      </c>
    </row>
    <row r="14" spans="1:27" x14ac:dyDescent="0.25">
      <c r="A14" s="7" t="s">
        <v>33</v>
      </c>
    </row>
    <row r="16" spans="1:27" s="15" customFormat="1" x14ac:dyDescent="0.25">
      <c r="A16" s="14" t="s">
        <v>34</v>
      </c>
    </row>
    <row r="17" spans="1:27" x14ac:dyDescent="0.25">
      <c r="A17" s="12" t="s">
        <v>35</v>
      </c>
      <c r="B17" s="12"/>
      <c r="C17" s="22">
        <f>IPMT(6%,C5,25,$B$7,0)</f>
        <v>20565471.19881282</v>
      </c>
      <c r="D17" s="22">
        <f t="shared" ref="D17:AA17" si="3">IPMT(6%,D5,25,$B$7,0)</f>
        <v>20190630.150369421</v>
      </c>
      <c r="E17" s="22">
        <f t="shared" si="3"/>
        <v>19793298.639019426</v>
      </c>
      <c r="F17" s="22">
        <f t="shared" si="3"/>
        <v>19372127.236988422</v>
      </c>
      <c r="G17" s="22">
        <f t="shared" si="3"/>
        <v>18925685.550835557</v>
      </c>
      <c r="H17" s="22">
        <f t="shared" si="3"/>
        <v>18452457.363513526</v>
      </c>
      <c r="I17" s="22">
        <f t="shared" si="3"/>
        <v>17950835.484952167</v>
      </c>
      <c r="J17" s="22">
        <f t="shared" si="3"/>
        <v>17419116.293677136</v>
      </c>
      <c r="K17" s="22">
        <f t="shared" si="3"/>
        <v>16855493.9509256</v>
      </c>
      <c r="L17" s="22">
        <f t="shared" si="3"/>
        <v>16258054.267608961</v>
      </c>
      <c r="M17" s="22">
        <f t="shared" si="3"/>
        <v>15624768.203293335</v>
      </c>
      <c r="N17" s="22">
        <f t="shared" si="3"/>
        <v>14953484.975118766</v>
      </c>
      <c r="O17" s="22">
        <f t="shared" si="3"/>
        <v>14241924.753253726</v>
      </c>
      <c r="P17" s="22">
        <f t="shared" si="3"/>
        <v>13487670.918076782</v>
      </c>
      <c r="Q17" s="22">
        <f t="shared" si="3"/>
        <v>12688161.852789223</v>
      </c>
      <c r="R17" s="22">
        <f t="shared" si="3"/>
        <v>11840682.243584407</v>
      </c>
      <c r="S17" s="22">
        <f t="shared" si="3"/>
        <v>10942353.857827306</v>
      </c>
      <c r="T17" s="22">
        <f t="shared" si="3"/>
        <v>9990125.7689247746</v>
      </c>
      <c r="U17" s="22">
        <f t="shared" si="3"/>
        <v>8980763.9946880955</v>
      </c>
      <c r="V17" s="22">
        <f t="shared" si="3"/>
        <v>7910840.5139972139</v>
      </c>
      <c r="W17" s="22">
        <f t="shared" si="3"/>
        <v>6776721.6244648825</v>
      </c>
      <c r="X17" s="22">
        <f t="shared" si="3"/>
        <v>5574555.6015606085</v>
      </c>
      <c r="Y17" s="22">
        <f t="shared" si="3"/>
        <v>4300259.6172820767</v>
      </c>
      <c r="Z17" s="22">
        <f t="shared" si="3"/>
        <v>2949505.8739468348</v>
      </c>
      <c r="AA17" s="22">
        <f t="shared" si="3"/>
        <v>1517706.906011478</v>
      </c>
    </row>
    <row r="18" spans="1:27" x14ac:dyDescent="0.25">
      <c r="A18" s="12" t="s">
        <v>37</v>
      </c>
      <c r="B18" s="12"/>
      <c r="C18" s="13">
        <f>'[1]Raw Materials'!K9</f>
        <v>1874885.04</v>
      </c>
      <c r="D18" s="12">
        <f>1.05*C18</f>
        <v>1968629.2920000001</v>
      </c>
      <c r="E18" s="12">
        <f t="shared" ref="E18:AA19" si="4">1.05*D18</f>
        <v>2067060.7566000002</v>
      </c>
      <c r="F18" s="12">
        <f t="shared" si="4"/>
        <v>2170413.7944300002</v>
      </c>
      <c r="G18" s="12">
        <f t="shared" si="4"/>
        <v>2278934.4841515003</v>
      </c>
      <c r="H18" s="12">
        <f t="shared" si="4"/>
        <v>2392881.2083590752</v>
      </c>
      <c r="I18" s="12">
        <f t="shared" si="4"/>
        <v>2512525.2687770291</v>
      </c>
      <c r="J18" s="12">
        <f t="shared" si="4"/>
        <v>2638151.5322158807</v>
      </c>
      <c r="K18" s="12">
        <f t="shared" si="4"/>
        <v>2770059.108826675</v>
      </c>
      <c r="L18" s="12">
        <f t="shared" si="4"/>
        <v>2908562.0642680088</v>
      </c>
      <c r="M18" s="12">
        <f t="shared" si="4"/>
        <v>3053990.1674814094</v>
      </c>
      <c r="N18" s="12">
        <f t="shared" si="4"/>
        <v>3206689.6758554801</v>
      </c>
      <c r="O18" s="12">
        <f t="shared" si="4"/>
        <v>3367024.1596482545</v>
      </c>
      <c r="P18" s="12">
        <f t="shared" si="4"/>
        <v>3535375.3676306675</v>
      </c>
      <c r="Q18" s="12">
        <f t="shared" si="4"/>
        <v>3712144.1360122012</v>
      </c>
      <c r="R18" s="12">
        <f t="shared" si="4"/>
        <v>3897751.3428128115</v>
      </c>
      <c r="S18" s="12">
        <f t="shared" si="4"/>
        <v>4092638.9099534522</v>
      </c>
      <c r="T18" s="12">
        <f t="shared" si="4"/>
        <v>4297270.8554511247</v>
      </c>
      <c r="U18" s="12">
        <f t="shared" si="4"/>
        <v>4512134.3982236814</v>
      </c>
      <c r="V18" s="12">
        <f t="shared" si="4"/>
        <v>4737741.1181348655</v>
      </c>
      <c r="W18" s="12">
        <f t="shared" si="4"/>
        <v>4974628.1740416093</v>
      </c>
      <c r="X18" s="12">
        <f t="shared" si="4"/>
        <v>5223359.5827436903</v>
      </c>
      <c r="Y18" s="12">
        <f t="shared" si="4"/>
        <v>5484527.5618808754</v>
      </c>
      <c r="Z18" s="12">
        <f t="shared" si="4"/>
        <v>5758753.939974919</v>
      </c>
      <c r="AA18" s="12">
        <f t="shared" si="4"/>
        <v>6046691.6369736651</v>
      </c>
    </row>
    <row r="19" spans="1:27" x14ac:dyDescent="0.25">
      <c r="A19" s="12" t="s">
        <v>38</v>
      </c>
      <c r="B19" s="12"/>
      <c r="C19" s="64">
        <f>1800000</f>
        <v>1800000</v>
      </c>
      <c r="D19" s="12">
        <f>1.05*C19</f>
        <v>1890000</v>
      </c>
      <c r="E19" s="12">
        <f t="shared" si="4"/>
        <v>1984500</v>
      </c>
      <c r="F19" s="12">
        <f t="shared" si="4"/>
        <v>2083725</v>
      </c>
      <c r="G19" s="12">
        <f t="shared" si="4"/>
        <v>2187911.25</v>
      </c>
      <c r="H19" s="12">
        <f t="shared" si="4"/>
        <v>2297306.8125</v>
      </c>
      <c r="I19" s="12">
        <f t="shared" si="4"/>
        <v>2412172.1531250002</v>
      </c>
      <c r="J19" s="12">
        <f t="shared" si="4"/>
        <v>2532780.7607812504</v>
      </c>
      <c r="K19" s="12">
        <f t="shared" si="4"/>
        <v>2659419.7988203131</v>
      </c>
      <c r="L19" s="12">
        <f t="shared" si="4"/>
        <v>2792390.7887613289</v>
      </c>
      <c r="M19" s="12">
        <f t="shared" si="4"/>
        <v>2932010.3281993954</v>
      </c>
      <c r="N19" s="12">
        <f t="shared" si="4"/>
        <v>3078610.8446093653</v>
      </c>
      <c r="O19" s="12">
        <f t="shared" si="4"/>
        <v>3232541.3868398336</v>
      </c>
      <c r="P19" s="12">
        <f t="shared" si="4"/>
        <v>3394168.4561818256</v>
      </c>
      <c r="Q19" s="12">
        <f t="shared" si="4"/>
        <v>3563876.878990917</v>
      </c>
      <c r="R19" s="12">
        <f t="shared" si="4"/>
        <v>3742070.7229404631</v>
      </c>
      <c r="S19" s="12">
        <f t="shared" si="4"/>
        <v>3929174.2590874867</v>
      </c>
      <c r="T19" s="12">
        <f t="shared" si="4"/>
        <v>4125632.9720418612</v>
      </c>
      <c r="U19" s="12">
        <f t="shared" si="4"/>
        <v>4331914.6206439547</v>
      </c>
      <c r="V19" s="12">
        <f t="shared" si="4"/>
        <v>4548510.351676153</v>
      </c>
      <c r="W19" s="12">
        <f t="shared" si="4"/>
        <v>4775935.8692599609</v>
      </c>
      <c r="X19" s="12">
        <f t="shared" si="4"/>
        <v>5014732.6627229592</v>
      </c>
      <c r="Y19" s="12">
        <f t="shared" si="4"/>
        <v>5265469.2958591077</v>
      </c>
      <c r="Z19" s="12">
        <f t="shared" si="4"/>
        <v>5528742.7606520634</v>
      </c>
      <c r="AA19" s="12">
        <f t="shared" si="4"/>
        <v>5805179.8986846665</v>
      </c>
    </row>
    <row r="20" spans="1:27" x14ac:dyDescent="0.25"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</row>
    <row r="21" spans="1:27" x14ac:dyDescent="0.25">
      <c r="A21" t="s">
        <v>40</v>
      </c>
      <c r="C21" s="12">
        <f>-B7/25</f>
        <v>13710314.13254188</v>
      </c>
      <c r="D21" s="12">
        <f>C21</f>
        <v>13710314.13254188</v>
      </c>
      <c r="E21" s="12">
        <f>D21</f>
        <v>13710314.13254188</v>
      </c>
      <c r="F21" s="12">
        <f t="shared" ref="F21:AA21" si="5">E21</f>
        <v>13710314.13254188</v>
      </c>
      <c r="G21" s="12">
        <f t="shared" si="5"/>
        <v>13710314.13254188</v>
      </c>
      <c r="H21" s="12">
        <f t="shared" si="5"/>
        <v>13710314.13254188</v>
      </c>
      <c r="I21" s="12">
        <f t="shared" si="5"/>
        <v>13710314.13254188</v>
      </c>
      <c r="J21" s="12">
        <f t="shared" si="5"/>
        <v>13710314.13254188</v>
      </c>
      <c r="K21" s="12">
        <f t="shared" si="5"/>
        <v>13710314.13254188</v>
      </c>
      <c r="L21" s="12">
        <f t="shared" si="5"/>
        <v>13710314.13254188</v>
      </c>
      <c r="M21" s="12">
        <f t="shared" si="5"/>
        <v>13710314.13254188</v>
      </c>
      <c r="N21" s="12">
        <f t="shared" si="5"/>
        <v>13710314.13254188</v>
      </c>
      <c r="O21" s="12">
        <f t="shared" si="5"/>
        <v>13710314.13254188</v>
      </c>
      <c r="P21" s="12">
        <f t="shared" si="5"/>
        <v>13710314.13254188</v>
      </c>
      <c r="Q21" s="12">
        <f t="shared" si="5"/>
        <v>13710314.13254188</v>
      </c>
      <c r="R21" s="12">
        <f t="shared" si="5"/>
        <v>13710314.13254188</v>
      </c>
      <c r="S21" s="12">
        <f t="shared" si="5"/>
        <v>13710314.13254188</v>
      </c>
      <c r="T21" s="12">
        <f t="shared" si="5"/>
        <v>13710314.13254188</v>
      </c>
      <c r="U21" s="12">
        <f t="shared" si="5"/>
        <v>13710314.13254188</v>
      </c>
      <c r="V21" s="12">
        <f t="shared" si="5"/>
        <v>13710314.13254188</v>
      </c>
      <c r="W21" s="12">
        <f t="shared" si="5"/>
        <v>13710314.13254188</v>
      </c>
      <c r="X21" s="12">
        <f t="shared" si="5"/>
        <v>13710314.13254188</v>
      </c>
      <c r="Y21" s="12">
        <f t="shared" si="5"/>
        <v>13710314.13254188</v>
      </c>
      <c r="Z21" s="12">
        <f t="shared" si="5"/>
        <v>13710314.13254188</v>
      </c>
      <c r="AA21" s="12">
        <f t="shared" si="5"/>
        <v>13710314.13254188</v>
      </c>
    </row>
    <row r="22" spans="1:27" ht="60" x14ac:dyDescent="0.25">
      <c r="A22" s="31" t="s">
        <v>133</v>
      </c>
      <c r="C22" s="12">
        <v>24000000</v>
      </c>
      <c r="D22" s="12">
        <f>C22*1.05</f>
        <v>25200000</v>
      </c>
      <c r="E22" s="12">
        <f t="shared" ref="E22:AA22" si="6">D22*1.05</f>
        <v>26460000</v>
      </c>
      <c r="F22" s="12">
        <f t="shared" si="6"/>
        <v>27783000</v>
      </c>
      <c r="G22" s="12">
        <f t="shared" si="6"/>
        <v>29172150</v>
      </c>
      <c r="H22" s="12">
        <f t="shared" si="6"/>
        <v>30630757.5</v>
      </c>
      <c r="I22" s="12">
        <f t="shared" si="6"/>
        <v>32162295.375</v>
      </c>
      <c r="J22" s="12">
        <f t="shared" si="6"/>
        <v>33770410.143750004</v>
      </c>
      <c r="K22" s="12">
        <f t="shared" si="6"/>
        <v>35458930.650937505</v>
      </c>
      <c r="L22" s="12">
        <f t="shared" si="6"/>
        <v>37231877.183484383</v>
      </c>
      <c r="M22" s="12">
        <f t="shared" si="6"/>
        <v>39093471.042658605</v>
      </c>
      <c r="N22" s="12">
        <f t="shared" si="6"/>
        <v>41048144.594791539</v>
      </c>
      <c r="O22" s="12">
        <f t="shared" si="6"/>
        <v>43100551.824531116</v>
      </c>
      <c r="P22" s="12">
        <f t="shared" si="6"/>
        <v>45255579.415757671</v>
      </c>
      <c r="Q22" s="12">
        <f t="shared" si="6"/>
        <v>47518358.386545554</v>
      </c>
      <c r="R22" s="12">
        <f t="shared" si="6"/>
        <v>49894276.305872835</v>
      </c>
      <c r="S22" s="12">
        <f t="shared" si="6"/>
        <v>52388990.121166483</v>
      </c>
      <c r="T22" s="12">
        <f t="shared" si="6"/>
        <v>55008439.62722481</v>
      </c>
      <c r="U22" s="12">
        <f t="shared" si="6"/>
        <v>57758861.608586051</v>
      </c>
      <c r="V22" s="12">
        <f t="shared" si="6"/>
        <v>60646804.689015359</v>
      </c>
      <c r="W22" s="12">
        <f t="shared" si="6"/>
        <v>63679144.923466131</v>
      </c>
      <c r="X22" s="12">
        <f t="shared" si="6"/>
        <v>66863102.169639438</v>
      </c>
      <c r="Y22" s="12">
        <f t="shared" si="6"/>
        <v>70206257.278121412</v>
      </c>
      <c r="Z22" s="12">
        <f t="shared" si="6"/>
        <v>73716570.142027482</v>
      </c>
      <c r="AA22" s="12">
        <f t="shared" si="6"/>
        <v>77402398.649128854</v>
      </c>
    </row>
    <row r="23" spans="1:27" x14ac:dyDescent="0.25"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</row>
    <row r="24" spans="1:27" x14ac:dyDescent="0.25">
      <c r="A24" t="s">
        <v>42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</row>
    <row r="25" spans="1:27" x14ac:dyDescent="0.25">
      <c r="A25" t="s">
        <v>134</v>
      </c>
      <c r="C25" s="13">
        <f>-0.05*B7</f>
        <v>17137892.66567735</v>
      </c>
      <c r="D25" s="12">
        <f>1.05*C25</f>
        <v>17994787.298961218</v>
      </c>
      <c r="E25" s="12">
        <f t="shared" ref="E25:AA25" si="7">1.05*D25</f>
        <v>18894526.663909279</v>
      </c>
      <c r="F25" s="12">
        <f t="shared" si="7"/>
        <v>19839252.997104745</v>
      </c>
      <c r="G25" s="12">
        <f t="shared" si="7"/>
        <v>20831215.646959983</v>
      </c>
      <c r="H25" s="12">
        <f t="shared" si="7"/>
        <v>21872776.429307982</v>
      </c>
      <c r="I25" s="12">
        <f t="shared" si="7"/>
        <v>22966415.250773381</v>
      </c>
      <c r="J25" s="12">
        <f t="shared" si="7"/>
        <v>24114736.013312053</v>
      </c>
      <c r="K25" s="12">
        <f t="shared" si="7"/>
        <v>25320472.813977655</v>
      </c>
      <c r="L25" s="12">
        <f t="shared" si="7"/>
        <v>26586496.454676539</v>
      </c>
      <c r="M25" s="12">
        <f t="shared" si="7"/>
        <v>27915821.277410366</v>
      </c>
      <c r="N25" s="12">
        <f t="shared" si="7"/>
        <v>29311612.341280885</v>
      </c>
      <c r="O25" s="12">
        <f t="shared" si="7"/>
        <v>30777192.958344929</v>
      </c>
      <c r="P25" s="12">
        <f t="shared" si="7"/>
        <v>32316052.606262177</v>
      </c>
      <c r="Q25" s="12">
        <f t="shared" si="7"/>
        <v>33931855.236575291</v>
      </c>
      <c r="R25" s="12">
        <f t="shared" si="7"/>
        <v>35628447.998404056</v>
      </c>
      <c r="S25" s="12">
        <f t="shared" si="7"/>
        <v>37409870.398324259</v>
      </c>
      <c r="T25" s="12">
        <f t="shared" si="7"/>
        <v>39280363.918240473</v>
      </c>
      <c r="U25" s="12">
        <f t="shared" si="7"/>
        <v>41244382.114152499</v>
      </c>
      <c r="V25" s="12">
        <f t="shared" si="7"/>
        <v>43306601.219860122</v>
      </c>
      <c r="W25" s="12">
        <f t="shared" si="7"/>
        <v>45471931.28085313</v>
      </c>
      <c r="X25" s="12">
        <f t="shared" si="7"/>
        <v>47745527.844895788</v>
      </c>
      <c r="Y25" s="12">
        <f t="shared" si="7"/>
        <v>50132804.237140581</v>
      </c>
      <c r="Z25" s="12">
        <f t="shared" si="7"/>
        <v>52639444.448997609</v>
      </c>
      <c r="AA25" s="12">
        <f t="shared" si="7"/>
        <v>55271416.671447493</v>
      </c>
    </row>
    <row r="26" spans="1:27" x14ac:dyDescent="0.25">
      <c r="C26" s="13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</row>
    <row r="27" spans="1:27" x14ac:dyDescent="0.25">
      <c r="A27" t="s">
        <v>79</v>
      </c>
      <c r="C27" s="13">
        <f>0.05*C12</f>
        <v>4908750</v>
      </c>
      <c r="D27" s="13">
        <f>0.05*D12</f>
        <v>5154187.5</v>
      </c>
      <c r="E27" s="13">
        <f t="shared" ref="E27:AA27" si="8">0.05*E12</f>
        <v>5411896.875</v>
      </c>
      <c r="F27" s="13">
        <f t="shared" si="8"/>
        <v>5682491.71875</v>
      </c>
      <c r="G27" s="13">
        <f t="shared" si="8"/>
        <v>5966616.3046875</v>
      </c>
      <c r="H27" s="13">
        <f t="shared" si="8"/>
        <v>6264947.1199218752</v>
      </c>
      <c r="I27" s="13">
        <f t="shared" si="8"/>
        <v>6578194.4759179689</v>
      </c>
      <c r="J27" s="13">
        <f t="shared" si="8"/>
        <v>6907104.1997138681</v>
      </c>
      <c r="K27" s="13">
        <f t="shared" si="8"/>
        <v>7252459.4096995629</v>
      </c>
      <c r="L27" s="13">
        <f t="shared" si="8"/>
        <v>7615082.3801845405</v>
      </c>
      <c r="M27" s="13">
        <f t="shared" si="8"/>
        <v>7995836.4991937689</v>
      </c>
      <c r="N27" s="13">
        <f t="shared" si="8"/>
        <v>8395628.3241534587</v>
      </c>
      <c r="O27" s="13">
        <f t="shared" si="8"/>
        <v>8815409.7403611299</v>
      </c>
      <c r="P27" s="13">
        <f t="shared" si="8"/>
        <v>9256180.2273791861</v>
      </c>
      <c r="Q27" s="13">
        <f t="shared" si="8"/>
        <v>9718989.2387481462</v>
      </c>
      <c r="R27" s="13">
        <f t="shared" si="8"/>
        <v>10204938.700685555</v>
      </c>
      <c r="S27" s="13">
        <f t="shared" si="8"/>
        <v>10715185.635719834</v>
      </c>
      <c r="T27" s="13">
        <f t="shared" si="8"/>
        <v>11250944.917505825</v>
      </c>
      <c r="U27" s="13">
        <f t="shared" si="8"/>
        <v>11813492.163381116</v>
      </c>
      <c r="V27" s="13">
        <f t="shared" si="8"/>
        <v>12404166.771550173</v>
      </c>
      <c r="W27" s="13">
        <f t="shared" si="8"/>
        <v>13024375.110127682</v>
      </c>
      <c r="X27" s="13">
        <f t="shared" si="8"/>
        <v>13675593.865634067</v>
      </c>
      <c r="Y27" s="13">
        <f t="shared" si="8"/>
        <v>14359373.558915772</v>
      </c>
      <c r="Z27" s="13">
        <f t="shared" si="8"/>
        <v>15077342.23686156</v>
      </c>
      <c r="AA27" s="13">
        <f t="shared" si="8"/>
        <v>15831209.34870464</v>
      </c>
    </row>
    <row r="28" spans="1:27" x14ac:dyDescent="0.25">
      <c r="C28" s="13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</row>
    <row r="29" spans="1:27" x14ac:dyDescent="0.25">
      <c r="A29" t="s">
        <v>135</v>
      </c>
      <c r="C29" s="13">
        <f>-0.01*B7</f>
        <v>3427578.53313547</v>
      </c>
      <c r="D29" s="13">
        <f>1.05*C29</f>
        <v>3598957.4597922438</v>
      </c>
      <c r="E29" s="13">
        <f t="shared" ref="E29:AA29" si="9">1.05*D29</f>
        <v>3778905.3327818559</v>
      </c>
      <c r="F29" s="13">
        <f t="shared" si="9"/>
        <v>3967850.5994209489</v>
      </c>
      <c r="G29" s="13">
        <f t="shared" si="9"/>
        <v>4166243.1293919967</v>
      </c>
      <c r="H29" s="13">
        <f t="shared" si="9"/>
        <v>4374555.2858615965</v>
      </c>
      <c r="I29" s="13">
        <f t="shared" si="9"/>
        <v>4593283.0501546767</v>
      </c>
      <c r="J29" s="13">
        <f t="shared" si="9"/>
        <v>4822947.2026624111</v>
      </c>
      <c r="K29" s="13">
        <f t="shared" si="9"/>
        <v>5064094.5627955319</v>
      </c>
      <c r="L29" s="13">
        <f t="shared" si="9"/>
        <v>5317299.2909353087</v>
      </c>
      <c r="M29" s="13">
        <f t="shared" si="9"/>
        <v>5583164.2554820748</v>
      </c>
      <c r="N29" s="13">
        <f t="shared" si="9"/>
        <v>5862322.4682561792</v>
      </c>
      <c r="O29" s="13">
        <f t="shared" si="9"/>
        <v>6155438.5916689886</v>
      </c>
      <c r="P29" s="13">
        <f t="shared" si="9"/>
        <v>6463210.5212524384</v>
      </c>
      <c r="Q29" s="13">
        <f t="shared" si="9"/>
        <v>6786371.0473150611</v>
      </c>
      <c r="R29" s="13">
        <f t="shared" si="9"/>
        <v>7125689.5996808149</v>
      </c>
      <c r="S29" s="13">
        <f t="shared" si="9"/>
        <v>7481974.0796648562</v>
      </c>
      <c r="T29" s="13">
        <f t="shared" si="9"/>
        <v>7856072.7836480998</v>
      </c>
      <c r="U29" s="13">
        <f t="shared" si="9"/>
        <v>8248876.4228305053</v>
      </c>
      <c r="V29" s="13">
        <f t="shared" si="9"/>
        <v>8661320.2439720314</v>
      </c>
      <c r="W29" s="13">
        <f t="shared" si="9"/>
        <v>9094386.2561706342</v>
      </c>
      <c r="X29" s="13">
        <f t="shared" si="9"/>
        <v>9549105.5689791664</v>
      </c>
      <c r="Y29" s="13">
        <f t="shared" si="9"/>
        <v>10026560.847428124</v>
      </c>
      <c r="Z29" s="13">
        <f t="shared" si="9"/>
        <v>10527888.889799532</v>
      </c>
      <c r="AA29" s="13">
        <f t="shared" si="9"/>
        <v>11054283.334289508</v>
      </c>
    </row>
    <row r="30" spans="1:27" x14ac:dyDescent="0.25"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</row>
    <row r="31" spans="1:27" x14ac:dyDescent="0.25">
      <c r="A31" t="s">
        <v>0</v>
      </c>
      <c r="C31" s="13">
        <f>'[1]Raw Materials'!K10</f>
        <v>33377909.039999999</v>
      </c>
      <c r="D31" s="12">
        <f>1.05*C31</f>
        <v>35046804.491999999</v>
      </c>
      <c r="E31" s="12">
        <f t="shared" ref="E31:AA31" si="10">1.05*D31</f>
        <v>36799144.716600001</v>
      </c>
      <c r="F31" s="12">
        <f t="shared" si="10"/>
        <v>38639101.952430002</v>
      </c>
      <c r="G31" s="12">
        <f t="shared" si="10"/>
        <v>40571057.050051503</v>
      </c>
      <c r="H31" s="12">
        <f t="shared" si="10"/>
        <v>42599609.90255408</v>
      </c>
      <c r="I31" s="12">
        <f t="shared" si="10"/>
        <v>44729590.397681788</v>
      </c>
      <c r="J31" s="12">
        <f t="shared" si="10"/>
        <v>46966069.917565882</v>
      </c>
      <c r="K31" s="12">
        <f t="shared" si="10"/>
        <v>49314373.413444176</v>
      </c>
      <c r="L31" s="12">
        <f t="shared" si="10"/>
        <v>51780092.084116384</v>
      </c>
      <c r="M31" s="12">
        <f t="shared" si="10"/>
        <v>54369096.688322209</v>
      </c>
      <c r="N31" s="12">
        <f t="shared" si="10"/>
        <v>57087551.522738323</v>
      </c>
      <c r="O31" s="12">
        <f t="shared" si="10"/>
        <v>59941929.098875239</v>
      </c>
      <c r="P31" s="12">
        <f t="shared" si="10"/>
        <v>62939025.553819001</v>
      </c>
      <c r="Q31" s="12">
        <f t="shared" si="10"/>
        <v>66085976.831509955</v>
      </c>
      <c r="R31" s="12">
        <f t="shared" si="10"/>
        <v>69390275.673085451</v>
      </c>
      <c r="S31" s="12">
        <f t="shared" si="10"/>
        <v>72859789.456739724</v>
      </c>
      <c r="T31" s="12">
        <f t="shared" si="10"/>
        <v>76502778.92957671</v>
      </c>
      <c r="U31" s="12">
        <f t="shared" si="10"/>
        <v>80327917.876055554</v>
      </c>
      <c r="V31" s="12">
        <f t="shared" si="10"/>
        <v>84344313.76985833</v>
      </c>
      <c r="W31" s="12">
        <f t="shared" si="10"/>
        <v>88561529.458351254</v>
      </c>
      <c r="X31" s="12">
        <f t="shared" si="10"/>
        <v>92989605.931268826</v>
      </c>
      <c r="Y31" s="12">
        <f t="shared" si="10"/>
        <v>97639086.227832273</v>
      </c>
      <c r="Z31" s="12">
        <f t="shared" si="10"/>
        <v>102521040.53922389</v>
      </c>
      <c r="AA31" s="12">
        <f t="shared" si="10"/>
        <v>107647092.56618509</v>
      </c>
    </row>
    <row r="32" spans="1:27" x14ac:dyDescent="0.25"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</row>
    <row r="33" spans="1:27" x14ac:dyDescent="0.25">
      <c r="A33" s="9" t="s">
        <v>44</v>
      </c>
      <c r="C33" s="23">
        <f t="shared" ref="C33:Y33" si="11">SUM(C17:C32)</f>
        <v>120802800.61016753</v>
      </c>
      <c r="D33" s="24">
        <f t="shared" si="11"/>
        <v>124754310.32566476</v>
      </c>
      <c r="E33" s="24">
        <f t="shared" si="11"/>
        <v>128899647.11645243</v>
      </c>
      <c r="F33" s="24">
        <f t="shared" si="11"/>
        <v>133248277.43166599</v>
      </c>
      <c r="G33" s="24">
        <f t="shared" si="11"/>
        <v>137810127.54861993</v>
      </c>
      <c r="H33" s="24">
        <f t="shared" si="11"/>
        <v>142595605.75456002</v>
      </c>
      <c r="I33" s="24">
        <f t="shared" si="11"/>
        <v>147615625.58892387</v>
      </c>
      <c r="J33" s="24">
        <f t="shared" si="11"/>
        <v>152881630.19622037</v>
      </c>
      <c r="K33" s="24">
        <f t="shared" si="11"/>
        <v>158405617.84196889</v>
      </c>
      <c r="L33" s="24">
        <f t="shared" si="11"/>
        <v>164200168.64657733</v>
      </c>
      <c r="M33" s="24">
        <f t="shared" si="11"/>
        <v>170278472.59458303</v>
      </c>
      <c r="N33" s="24">
        <f t="shared" si="11"/>
        <v>176654358.87934583</v>
      </c>
      <c r="O33" s="24">
        <f t="shared" si="11"/>
        <v>183342326.64606512</v>
      </c>
      <c r="P33" s="24">
        <f t="shared" si="11"/>
        <v>190357577.19890162</v>
      </c>
      <c r="Q33" s="24">
        <f t="shared" si="11"/>
        <v>197716047.74102822</v>
      </c>
      <c r="R33" s="24">
        <f t="shared" si="11"/>
        <v>205434446.71960828</v>
      </c>
      <c r="S33" s="24">
        <f t="shared" si="11"/>
        <v>213530290.85102528</v>
      </c>
      <c r="T33" s="24">
        <f t="shared" si="11"/>
        <v>222021943.90515554</v>
      </c>
      <c r="U33" s="24">
        <f t="shared" si="11"/>
        <v>230928657.33110332</v>
      </c>
      <c r="V33" s="24">
        <f t="shared" si="11"/>
        <v>240270612.81060612</v>
      </c>
      <c r="W33" s="24">
        <f t="shared" si="11"/>
        <v>250068966.82927716</v>
      </c>
      <c r="X33" s="24">
        <f t="shared" si="11"/>
        <v>260345897.35998642</v>
      </c>
      <c r="Y33" s="24">
        <f t="shared" si="11"/>
        <v>271124652.75700206</v>
      </c>
      <c r="Z33" s="24">
        <f t="shared" ref="Z33:AA33" si="12">SUM(Z17:Z32)</f>
        <v>282429602.9640258</v>
      </c>
      <c r="AA33" s="24">
        <f t="shared" si="12"/>
        <v>294286293.14396727</v>
      </c>
    </row>
    <row r="34" spans="1:27" x14ac:dyDescent="0.25">
      <c r="A34" s="9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</row>
    <row r="35" spans="1:27" x14ac:dyDescent="0.25">
      <c r="A35" s="9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</row>
    <row r="36" spans="1:27" x14ac:dyDescent="0.25"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</row>
    <row r="37" spans="1:27" x14ac:dyDescent="0.25">
      <c r="A37" t="s">
        <v>45</v>
      </c>
      <c r="C37" s="13">
        <f>C12+C11+C10-C33</f>
        <v>-15277800.610167533</v>
      </c>
      <c r="D37" s="13">
        <f t="shared" ref="D37:AA37" si="13">D12+D11+D10-D33</f>
        <v>-13953060.325664759</v>
      </c>
      <c r="E37" s="13">
        <f t="shared" si="13"/>
        <v>-12558334.616452426</v>
      </c>
      <c r="F37" s="13">
        <f t="shared" si="13"/>
        <v>-11089899.306665987</v>
      </c>
      <c r="G37" s="13">
        <f t="shared" si="13"/>
        <v>-9543830.517369926</v>
      </c>
      <c r="H37" s="13">
        <f t="shared" si="13"/>
        <v>-7915993.8717475235</v>
      </c>
      <c r="I37" s="13">
        <f t="shared" si="13"/>
        <v>-6202033.1119707525</v>
      </c>
      <c r="J37" s="13">
        <f t="shared" si="13"/>
        <v>-4397358.0954195559</v>
      </c>
      <c r="K37" s="13">
        <f t="shared" si="13"/>
        <v>-2497132.136128068</v>
      </c>
      <c r="L37" s="13">
        <f t="shared" si="13"/>
        <v>-496258.65544444323</v>
      </c>
      <c r="M37" s="13">
        <f t="shared" si="13"/>
        <v>1610632.8961065114</v>
      </c>
      <c r="N37" s="13">
        <f t="shared" si="13"/>
        <v>3829201.8858782351</v>
      </c>
      <c r="O37" s="13">
        <f t="shared" si="13"/>
        <v>6165412.1574201584</v>
      </c>
      <c r="P37" s="13">
        <f t="shared" si="13"/>
        <v>8625548.5447578728</v>
      </c>
      <c r="Q37" s="13">
        <f t="shared" si="13"/>
        <v>11216234.289814293</v>
      </c>
      <c r="R37" s="13">
        <f t="shared" si="13"/>
        <v>13944449.412776381</v>
      </c>
      <c r="S37" s="13">
        <f t="shared" si="13"/>
        <v>16817550.087978601</v>
      </c>
      <c r="T37" s="13">
        <f t="shared" si="13"/>
        <v>19843289.080798537</v>
      </c>
      <c r="U37" s="13">
        <f t="shared" si="13"/>
        <v>23029837.304148465</v>
      </c>
      <c r="V37" s="13">
        <f t="shared" si="13"/>
        <v>26385806.556408286</v>
      </c>
      <c r="W37" s="13">
        <f t="shared" si="13"/>
        <v>29920273.506087959</v>
      </c>
      <c r="X37" s="13">
        <f t="shared" si="13"/>
        <v>33642804.992146969</v>
      </c>
      <c r="Y37" s="13">
        <f t="shared" si="13"/>
        <v>37563484.712738037</v>
      </c>
      <c r="Z37" s="13">
        <f t="shared" si="13"/>
        <v>41692941.379201353</v>
      </c>
      <c r="AA37" s="13">
        <f t="shared" si="13"/>
        <v>46042378.416421175</v>
      </c>
    </row>
    <row r="38" spans="1:27" x14ac:dyDescent="0.25"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</row>
    <row r="39" spans="1:27" x14ac:dyDescent="0.25">
      <c r="A39" t="s">
        <v>46</v>
      </c>
      <c r="C39" s="13">
        <f>C37*0.4</f>
        <v>-6111120.2440670133</v>
      </c>
      <c r="D39" s="12">
        <f t="shared" ref="D39:AA39" si="14">D37*0.4</f>
        <v>-5581224.1302659037</v>
      </c>
      <c r="E39" s="12">
        <f t="shared" si="14"/>
        <v>-5023333.8465809701</v>
      </c>
      <c r="F39" s="12">
        <f t="shared" si="14"/>
        <v>-4435959.7226663949</v>
      </c>
      <c r="G39" s="12">
        <f t="shared" si="14"/>
        <v>-3817532.2069479707</v>
      </c>
      <c r="H39" s="12">
        <f t="shared" si="14"/>
        <v>-3166397.5486990097</v>
      </c>
      <c r="I39" s="12">
        <f t="shared" si="14"/>
        <v>-2480813.2447883012</v>
      </c>
      <c r="J39" s="12">
        <f t="shared" si="14"/>
        <v>-1758943.2381678224</v>
      </c>
      <c r="K39" s="12">
        <f t="shared" si="14"/>
        <v>-998852.85445122723</v>
      </c>
      <c r="L39" s="12">
        <f t="shared" si="14"/>
        <v>-198503.46217777731</v>
      </c>
      <c r="M39" s="12">
        <f t="shared" si="14"/>
        <v>644253.15844260459</v>
      </c>
      <c r="N39" s="12">
        <f t="shared" si="14"/>
        <v>1531680.7543512941</v>
      </c>
      <c r="O39" s="12">
        <f t="shared" si="14"/>
        <v>2466164.8629680634</v>
      </c>
      <c r="P39" s="12">
        <f t="shared" si="14"/>
        <v>3450219.4179031495</v>
      </c>
      <c r="Q39" s="12">
        <f t="shared" si="14"/>
        <v>4486493.7159257177</v>
      </c>
      <c r="R39" s="12">
        <f t="shared" si="14"/>
        <v>5577779.7651105523</v>
      </c>
      <c r="S39" s="12">
        <f t="shared" si="14"/>
        <v>6727020.035191441</v>
      </c>
      <c r="T39" s="12">
        <f t="shared" si="14"/>
        <v>7937315.632319415</v>
      </c>
      <c r="U39" s="12">
        <f t="shared" si="14"/>
        <v>9211934.9216593858</v>
      </c>
      <c r="V39" s="12">
        <f t="shared" si="14"/>
        <v>10554322.622563316</v>
      </c>
      <c r="W39" s="12">
        <f t="shared" si="14"/>
        <v>11968109.402435184</v>
      </c>
      <c r="X39" s="12">
        <f t="shared" si="14"/>
        <v>13457121.996858789</v>
      </c>
      <c r="Y39" s="12">
        <f t="shared" si="14"/>
        <v>15025393.885095216</v>
      </c>
      <c r="Z39" s="12">
        <f t="shared" si="14"/>
        <v>16677176.551680543</v>
      </c>
      <c r="AA39" s="12">
        <f t="shared" si="14"/>
        <v>18416951.366568472</v>
      </c>
    </row>
    <row r="40" spans="1:27" x14ac:dyDescent="0.25"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</row>
    <row r="41" spans="1:27" x14ac:dyDescent="0.25">
      <c r="A41" t="s">
        <v>47</v>
      </c>
      <c r="C41" s="13">
        <f>C37-C39</f>
        <v>-9166680.3661005199</v>
      </c>
      <c r="D41" s="12">
        <f t="shared" ref="D41:AA41" si="15">D37-D39</f>
        <v>-8371836.195398855</v>
      </c>
      <c r="E41" s="12">
        <f t="shared" si="15"/>
        <v>-7535000.7698714556</v>
      </c>
      <c r="F41" s="12">
        <f t="shared" si="15"/>
        <v>-6653939.5839995919</v>
      </c>
      <c r="G41" s="12">
        <f t="shared" si="15"/>
        <v>-5726298.3104219548</v>
      </c>
      <c r="H41" s="12">
        <f t="shared" si="15"/>
        <v>-4749596.3230485134</v>
      </c>
      <c r="I41" s="12">
        <f t="shared" si="15"/>
        <v>-3721219.8671824513</v>
      </c>
      <c r="J41" s="12">
        <f t="shared" si="15"/>
        <v>-2638414.8572517335</v>
      </c>
      <c r="K41" s="12">
        <f t="shared" si="15"/>
        <v>-1498279.2816768407</v>
      </c>
      <c r="L41" s="12">
        <f t="shared" si="15"/>
        <v>-297755.19326666591</v>
      </c>
      <c r="M41" s="12">
        <f t="shared" si="15"/>
        <v>966379.73766390677</v>
      </c>
      <c r="N41" s="12">
        <f t="shared" si="15"/>
        <v>2297521.131526941</v>
      </c>
      <c r="O41" s="12">
        <f t="shared" si="15"/>
        <v>3699247.2944520949</v>
      </c>
      <c r="P41" s="12">
        <f t="shared" si="15"/>
        <v>5175329.1268547233</v>
      </c>
      <c r="Q41" s="12">
        <f t="shared" si="15"/>
        <v>6729740.5738885757</v>
      </c>
      <c r="R41" s="12">
        <f t="shared" si="15"/>
        <v>8366669.6476658285</v>
      </c>
      <c r="S41" s="12">
        <f t="shared" si="15"/>
        <v>10090530.052787161</v>
      </c>
      <c r="T41" s="12">
        <f t="shared" si="15"/>
        <v>11905973.448479122</v>
      </c>
      <c r="U41" s="12">
        <f t="shared" si="15"/>
        <v>13817902.38248908</v>
      </c>
      <c r="V41" s="12">
        <f t="shared" si="15"/>
        <v>15831483.933844971</v>
      </c>
      <c r="W41" s="12">
        <f t="shared" si="15"/>
        <v>17952164.103652775</v>
      </c>
      <c r="X41" s="12">
        <f t="shared" si="15"/>
        <v>20185682.995288178</v>
      </c>
      <c r="Y41" s="12">
        <f t="shared" si="15"/>
        <v>22538090.827642821</v>
      </c>
      <c r="Z41" s="12">
        <f t="shared" si="15"/>
        <v>25015764.82752081</v>
      </c>
      <c r="AA41" s="12">
        <f t="shared" si="15"/>
        <v>27625427.049852703</v>
      </c>
    </row>
    <row r="42" spans="1:27" x14ac:dyDescent="0.25"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</row>
    <row r="43" spans="1:27" x14ac:dyDescent="0.25">
      <c r="A43" t="s">
        <v>48</v>
      </c>
      <c r="C43" s="12">
        <f>C21</f>
        <v>13710314.13254188</v>
      </c>
      <c r="D43" s="12">
        <f t="shared" ref="D43:AA43" si="16">D21</f>
        <v>13710314.13254188</v>
      </c>
      <c r="E43" s="12">
        <f t="shared" si="16"/>
        <v>13710314.13254188</v>
      </c>
      <c r="F43" s="12">
        <f t="shared" si="16"/>
        <v>13710314.13254188</v>
      </c>
      <c r="G43" s="12">
        <f t="shared" si="16"/>
        <v>13710314.13254188</v>
      </c>
      <c r="H43" s="12">
        <f t="shared" si="16"/>
        <v>13710314.13254188</v>
      </c>
      <c r="I43" s="12">
        <f t="shared" si="16"/>
        <v>13710314.13254188</v>
      </c>
      <c r="J43" s="12">
        <f t="shared" si="16"/>
        <v>13710314.13254188</v>
      </c>
      <c r="K43" s="12">
        <f t="shared" si="16"/>
        <v>13710314.13254188</v>
      </c>
      <c r="L43" s="12">
        <f t="shared" si="16"/>
        <v>13710314.13254188</v>
      </c>
      <c r="M43" s="12">
        <f t="shared" si="16"/>
        <v>13710314.13254188</v>
      </c>
      <c r="N43" s="12">
        <f t="shared" si="16"/>
        <v>13710314.13254188</v>
      </c>
      <c r="O43" s="12">
        <f t="shared" si="16"/>
        <v>13710314.13254188</v>
      </c>
      <c r="P43" s="12">
        <f t="shared" si="16"/>
        <v>13710314.13254188</v>
      </c>
      <c r="Q43" s="12">
        <f t="shared" si="16"/>
        <v>13710314.13254188</v>
      </c>
      <c r="R43" s="12">
        <f t="shared" si="16"/>
        <v>13710314.13254188</v>
      </c>
      <c r="S43" s="12">
        <f t="shared" si="16"/>
        <v>13710314.13254188</v>
      </c>
      <c r="T43" s="12">
        <f t="shared" si="16"/>
        <v>13710314.13254188</v>
      </c>
      <c r="U43" s="12">
        <f t="shared" si="16"/>
        <v>13710314.13254188</v>
      </c>
      <c r="V43" s="12">
        <f t="shared" si="16"/>
        <v>13710314.13254188</v>
      </c>
      <c r="W43" s="12">
        <f t="shared" si="16"/>
        <v>13710314.13254188</v>
      </c>
      <c r="X43" s="12">
        <f t="shared" si="16"/>
        <v>13710314.13254188</v>
      </c>
      <c r="Y43" s="12">
        <f t="shared" si="16"/>
        <v>13710314.13254188</v>
      </c>
      <c r="Z43" s="12">
        <f t="shared" si="16"/>
        <v>13710314.13254188</v>
      </c>
      <c r="AA43" s="12">
        <f t="shared" si="16"/>
        <v>13710314.13254188</v>
      </c>
    </row>
    <row r="44" spans="1:27" x14ac:dyDescent="0.25"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</row>
    <row r="45" spans="1:27" x14ac:dyDescent="0.25">
      <c r="A45" t="s">
        <v>49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</row>
    <row r="46" spans="1:27" x14ac:dyDescent="0.25">
      <c r="A46" t="s">
        <v>50</v>
      </c>
      <c r="B46" s="6">
        <f>B7</f>
        <v>-342757853.31354702</v>
      </c>
      <c r="C46" s="13">
        <f>C41+C43</f>
        <v>4543633.7664413601</v>
      </c>
      <c r="D46" s="12">
        <f t="shared" ref="D46:AA46" si="17">D41+D43</f>
        <v>5338477.937143025</v>
      </c>
      <c r="E46" s="12">
        <f t="shared" si="17"/>
        <v>6175313.3626704244</v>
      </c>
      <c r="F46" s="12">
        <f t="shared" si="17"/>
        <v>7056374.5485422881</v>
      </c>
      <c r="G46" s="12">
        <f t="shared" si="17"/>
        <v>7984015.8221199252</v>
      </c>
      <c r="H46" s="12">
        <f t="shared" si="17"/>
        <v>8960717.8094933666</v>
      </c>
      <c r="I46" s="12">
        <f t="shared" si="17"/>
        <v>9989094.2653594278</v>
      </c>
      <c r="J46" s="12">
        <f t="shared" si="17"/>
        <v>11071899.275290146</v>
      </c>
      <c r="K46" s="12">
        <f t="shared" si="17"/>
        <v>12212034.85086504</v>
      </c>
      <c r="L46" s="12">
        <f t="shared" si="17"/>
        <v>13412558.939275214</v>
      </c>
      <c r="M46" s="12">
        <f t="shared" si="17"/>
        <v>14676693.870205786</v>
      </c>
      <c r="N46" s="12">
        <f t="shared" si="17"/>
        <v>16007835.264068821</v>
      </c>
      <c r="O46" s="12">
        <f t="shared" si="17"/>
        <v>17409561.426993974</v>
      </c>
      <c r="P46" s="12">
        <f t="shared" si="17"/>
        <v>18885643.259396605</v>
      </c>
      <c r="Q46" s="12">
        <f t="shared" si="17"/>
        <v>20440054.706430458</v>
      </c>
      <c r="R46" s="12">
        <f t="shared" si="17"/>
        <v>22076983.780207708</v>
      </c>
      <c r="S46" s="12">
        <f t="shared" si="17"/>
        <v>23800844.185329042</v>
      </c>
      <c r="T46" s="12">
        <f t="shared" si="17"/>
        <v>25616287.581021003</v>
      </c>
      <c r="U46" s="12">
        <f t="shared" si="17"/>
        <v>27528216.515030958</v>
      </c>
      <c r="V46" s="12">
        <f t="shared" si="17"/>
        <v>29541798.066386849</v>
      </c>
      <c r="W46" s="12">
        <f t="shared" si="17"/>
        <v>31662478.236194655</v>
      </c>
      <c r="X46" s="12">
        <f t="shared" si="17"/>
        <v>33895997.127830058</v>
      </c>
      <c r="Y46" s="12">
        <f t="shared" si="17"/>
        <v>36248404.960184701</v>
      </c>
      <c r="Z46" s="12">
        <f t="shared" si="17"/>
        <v>38726078.96006269</v>
      </c>
      <c r="AA46" s="12">
        <f t="shared" si="17"/>
        <v>41335741.182394579</v>
      </c>
    </row>
    <row r="47" spans="1:27" x14ac:dyDescent="0.25"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</row>
    <row r="48" spans="1:27" x14ac:dyDescent="0.25">
      <c r="A48" t="s">
        <v>51</v>
      </c>
      <c r="C48" s="13">
        <f>C46</f>
        <v>4543633.7664413601</v>
      </c>
      <c r="D48" s="12">
        <f t="shared" ref="D48:AA48" si="18">C48+D46</f>
        <v>9882111.7035843842</v>
      </c>
      <c r="E48" s="12">
        <f t="shared" si="18"/>
        <v>16057425.066254809</v>
      </c>
      <c r="F48" s="12">
        <f t="shared" si="18"/>
        <v>23113799.614797097</v>
      </c>
      <c r="G48" s="12">
        <f t="shared" si="18"/>
        <v>31097815.436917022</v>
      </c>
      <c r="H48" s="12">
        <f t="shared" si="18"/>
        <v>40058533.246410385</v>
      </c>
      <c r="I48" s="12">
        <f t="shared" si="18"/>
        <v>50047627.511769816</v>
      </c>
      <c r="J48" s="12">
        <f t="shared" si="18"/>
        <v>61119526.787059963</v>
      </c>
      <c r="K48" s="12">
        <f t="shared" si="18"/>
        <v>73331561.637924999</v>
      </c>
      <c r="L48" s="12">
        <f t="shared" si="18"/>
        <v>86744120.577200219</v>
      </c>
      <c r="M48" s="12">
        <f t="shared" si="18"/>
        <v>101420814.44740601</v>
      </c>
      <c r="N48" s="12">
        <f t="shared" si="18"/>
        <v>117428649.71147484</v>
      </c>
      <c r="O48" s="12">
        <f t="shared" si="18"/>
        <v>134838211.1384688</v>
      </c>
      <c r="P48" s="12">
        <f t="shared" si="18"/>
        <v>153723854.39786541</v>
      </c>
      <c r="Q48" s="12">
        <f t="shared" si="18"/>
        <v>174163909.10429588</v>
      </c>
      <c r="R48" s="12">
        <f t="shared" si="18"/>
        <v>196240892.8845036</v>
      </c>
      <c r="S48" s="12">
        <f t="shared" si="18"/>
        <v>220041737.06983265</v>
      </c>
      <c r="T48" s="12">
        <f t="shared" si="18"/>
        <v>245658024.65085366</v>
      </c>
      <c r="U48" s="12">
        <f t="shared" si="18"/>
        <v>273186241.16588461</v>
      </c>
      <c r="V48" s="12">
        <f t="shared" si="18"/>
        <v>302728039.23227143</v>
      </c>
      <c r="W48" s="12">
        <f t="shared" si="18"/>
        <v>334390517.4684661</v>
      </c>
      <c r="X48" s="12">
        <f t="shared" si="18"/>
        <v>368286514.59629619</v>
      </c>
      <c r="Y48" s="12">
        <f t="shared" si="18"/>
        <v>404534919.55648088</v>
      </c>
      <c r="Z48" s="12">
        <f t="shared" si="18"/>
        <v>443260998.51654357</v>
      </c>
      <c r="AA48" s="12">
        <f t="shared" si="18"/>
        <v>484596739.69893813</v>
      </c>
    </row>
    <row r="50" spans="1:3" x14ac:dyDescent="0.25">
      <c r="A50" t="s">
        <v>53</v>
      </c>
      <c r="B50" s="11">
        <f>NPV(B53,B46:AA46)</f>
        <v>-114829689.48516124</v>
      </c>
      <c r="C50" s="3"/>
    </row>
    <row r="51" spans="1:3" x14ac:dyDescent="0.25">
      <c r="A51" t="s">
        <v>54</v>
      </c>
      <c r="B51" s="4">
        <f>IRR(B46:AA46,0.11)</f>
        <v>2.1090069033323999E-2</v>
      </c>
    </row>
    <row r="52" spans="1:3" x14ac:dyDescent="0.25">
      <c r="B52" s="4"/>
    </row>
    <row r="53" spans="1:3" x14ac:dyDescent="0.25">
      <c r="A53" t="s">
        <v>136</v>
      </c>
      <c r="B53" s="65">
        <v>0.05</v>
      </c>
    </row>
  </sheetData>
  <customSheetViews>
    <customSheetView guid="{7DCB9960-08D5-4449-90C1-2359FB89137D}" topLeftCell="A11">
      <selection activeCell="C29" sqref="C29"/>
      <pageMargins left="0.7" right="0.7" top="0.75" bottom="0.75" header="0.3" footer="0.3"/>
    </customSheetView>
  </customSheetViews>
  <pageMargins left="0.7" right="0.7" top="0.75" bottom="0.75" header="0.3" footer="0.3"/>
  <pageSetup orientation="portrait" horizontalDpi="300" verticalDpi="0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workbookViewId="0">
      <selection activeCell="E4" activeCellId="1" sqref="C15 C1:E4"/>
    </sheetView>
  </sheetViews>
  <sheetFormatPr defaultRowHeight="15" x14ac:dyDescent="0.25"/>
  <cols>
    <col min="2" max="2" width="12.28515625" customWidth="1"/>
    <col min="3" max="4" width="13.140625" customWidth="1"/>
    <col min="5" max="5" width="14.140625" customWidth="1"/>
    <col min="6" max="6" width="10.140625" customWidth="1"/>
    <col min="7" max="8" width="11.7109375" customWidth="1"/>
    <col min="9" max="9" width="11.85546875" customWidth="1"/>
    <col min="10" max="10" width="11.7109375" customWidth="1"/>
    <col min="11" max="11" width="11.140625" customWidth="1"/>
    <col min="12" max="12" width="11.5703125" customWidth="1"/>
    <col min="13" max="13" width="10.140625" customWidth="1"/>
    <col min="14" max="14" width="10.85546875" customWidth="1"/>
    <col min="15" max="15" width="11.28515625" customWidth="1"/>
    <col min="16" max="16" width="11.140625" customWidth="1"/>
    <col min="17" max="17" width="10.28515625" customWidth="1"/>
    <col min="18" max="18" width="10.85546875" customWidth="1"/>
    <col min="19" max="19" width="10.7109375" customWidth="1"/>
  </cols>
  <sheetData>
    <row r="1" spans="1:19" x14ac:dyDescent="0.25">
      <c r="C1" s="5" t="s">
        <v>27</v>
      </c>
    </row>
    <row r="2" spans="1:19" x14ac:dyDescent="0.25">
      <c r="C2" s="5"/>
    </row>
    <row r="3" spans="1:19" x14ac:dyDescent="0.25">
      <c r="A3" t="s">
        <v>28</v>
      </c>
      <c r="B3">
        <v>0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>
        <v>11</v>
      </c>
      <c r="N3">
        <v>12</v>
      </c>
      <c r="O3">
        <v>13</v>
      </c>
      <c r="P3">
        <v>14</v>
      </c>
      <c r="Q3">
        <v>15</v>
      </c>
      <c r="R3">
        <v>16</v>
      </c>
      <c r="S3">
        <v>17</v>
      </c>
    </row>
    <row r="5" spans="1:19" x14ac:dyDescent="0.25">
      <c r="A5" s="5" t="s">
        <v>29</v>
      </c>
      <c r="B5" s="6">
        <v>-50000000</v>
      </c>
      <c r="C5" s="6"/>
    </row>
    <row r="7" spans="1:19" x14ac:dyDescent="0.25">
      <c r="A7" s="7" t="s">
        <v>30</v>
      </c>
    </row>
    <row r="9" spans="1:19" x14ac:dyDescent="0.25">
      <c r="A9" t="s">
        <v>31</v>
      </c>
    </row>
    <row r="10" spans="1:19" x14ac:dyDescent="0.25">
      <c r="A10" t="s">
        <v>32</v>
      </c>
      <c r="C10" s="8">
        <v>50000000</v>
      </c>
      <c r="D10" s="8">
        <f>C10*1.02</f>
        <v>51000000</v>
      </c>
      <c r="E10" s="8">
        <f t="shared" ref="E10:S10" si="0">D10*1.02</f>
        <v>52020000</v>
      </c>
      <c r="F10" s="8">
        <f t="shared" si="0"/>
        <v>53060400</v>
      </c>
      <c r="G10" s="8">
        <f t="shared" si="0"/>
        <v>54121608</v>
      </c>
      <c r="H10" s="8">
        <f t="shared" si="0"/>
        <v>55204040.160000004</v>
      </c>
      <c r="I10" s="8">
        <f t="shared" si="0"/>
        <v>56308120.963200003</v>
      </c>
      <c r="J10" s="8">
        <f t="shared" si="0"/>
        <v>57434283.382464007</v>
      </c>
      <c r="K10" s="8">
        <f t="shared" si="0"/>
        <v>58582969.050113291</v>
      </c>
      <c r="L10" s="8">
        <f t="shared" si="0"/>
        <v>59754628.43111556</v>
      </c>
      <c r="M10" s="8">
        <f t="shared" si="0"/>
        <v>60949720.999737874</v>
      </c>
      <c r="N10" s="8">
        <f t="shared" si="0"/>
        <v>62168715.41973263</v>
      </c>
      <c r="O10" s="8">
        <f t="shared" si="0"/>
        <v>63412089.728127286</v>
      </c>
      <c r="P10" s="8">
        <f t="shared" si="0"/>
        <v>64680331.522689834</v>
      </c>
      <c r="Q10" s="8">
        <f t="shared" si="0"/>
        <v>65973938.153143629</v>
      </c>
      <c r="R10" s="8">
        <f t="shared" si="0"/>
        <v>67293416.916206509</v>
      </c>
      <c r="S10" s="8">
        <f t="shared" si="0"/>
        <v>68639285.254530638</v>
      </c>
    </row>
    <row r="12" spans="1:19" x14ac:dyDescent="0.25">
      <c r="A12" s="7" t="s">
        <v>33</v>
      </c>
    </row>
    <row r="14" spans="1:19" x14ac:dyDescent="0.25">
      <c r="A14" s="9" t="s">
        <v>34</v>
      </c>
    </row>
    <row r="15" spans="1:19" x14ac:dyDescent="0.25">
      <c r="A15" t="s">
        <v>35</v>
      </c>
      <c r="C15" s="10">
        <f>IPMT(0.06,C3,17,$B$7,0)</f>
        <v>0</v>
      </c>
      <c r="D15" s="10">
        <f t="shared" ref="D15:S15" si="1">IPMT(0.06,D3,17,$B$7,0)</f>
        <v>0</v>
      </c>
      <c r="E15" s="10">
        <f t="shared" si="1"/>
        <v>0</v>
      </c>
      <c r="F15" s="10">
        <f t="shared" si="1"/>
        <v>0</v>
      </c>
      <c r="G15" s="10">
        <f t="shared" si="1"/>
        <v>0</v>
      </c>
      <c r="H15" s="10">
        <f t="shared" si="1"/>
        <v>0</v>
      </c>
      <c r="I15" s="10">
        <f t="shared" si="1"/>
        <v>0</v>
      </c>
      <c r="J15" s="10">
        <f t="shared" si="1"/>
        <v>0</v>
      </c>
      <c r="K15" s="10">
        <f t="shared" si="1"/>
        <v>0</v>
      </c>
      <c r="L15" s="10">
        <f t="shared" si="1"/>
        <v>0</v>
      </c>
      <c r="M15" s="10">
        <f t="shared" si="1"/>
        <v>0</v>
      </c>
      <c r="N15" s="10">
        <f t="shared" si="1"/>
        <v>0</v>
      </c>
      <c r="O15" s="10">
        <f t="shared" si="1"/>
        <v>0</v>
      </c>
      <c r="P15" s="10">
        <f t="shared" si="1"/>
        <v>0</v>
      </c>
      <c r="Q15" s="10">
        <f t="shared" si="1"/>
        <v>0</v>
      </c>
      <c r="R15" s="10">
        <f t="shared" si="1"/>
        <v>0</v>
      </c>
      <c r="S15" s="10">
        <f t="shared" si="1"/>
        <v>0</v>
      </c>
    </row>
    <row r="16" spans="1:19" x14ac:dyDescent="0.25">
      <c r="A16" t="s">
        <v>36</v>
      </c>
      <c r="C16" s="6">
        <v>13432806</v>
      </c>
      <c r="D16" s="6">
        <f>C16*1.03</f>
        <v>13835790.18</v>
      </c>
      <c r="E16" s="6">
        <f t="shared" ref="E16:S16" si="2">D16*1.03</f>
        <v>14250863.885400001</v>
      </c>
      <c r="F16" s="6">
        <f t="shared" si="2"/>
        <v>14678389.801962001</v>
      </c>
      <c r="G16" s="6">
        <f t="shared" si="2"/>
        <v>15118741.496020861</v>
      </c>
      <c r="H16" s="6">
        <f t="shared" si="2"/>
        <v>15572303.740901487</v>
      </c>
      <c r="I16" s="6">
        <f t="shared" si="2"/>
        <v>16039472.853128532</v>
      </c>
      <c r="J16" s="6">
        <f t="shared" si="2"/>
        <v>16520657.038722388</v>
      </c>
      <c r="K16" s="6">
        <f t="shared" si="2"/>
        <v>17016276.749884062</v>
      </c>
      <c r="L16" s="6">
        <f t="shared" si="2"/>
        <v>17526765.052380584</v>
      </c>
      <c r="M16" s="6">
        <f t="shared" si="2"/>
        <v>18052568.003952004</v>
      </c>
      <c r="N16" s="6">
        <f t="shared" si="2"/>
        <v>18594145.044070564</v>
      </c>
      <c r="O16" s="6">
        <f t="shared" si="2"/>
        <v>19151969.395392682</v>
      </c>
      <c r="P16" s="6">
        <f t="shared" si="2"/>
        <v>19726528.477254465</v>
      </c>
      <c r="Q16" s="6">
        <f t="shared" si="2"/>
        <v>20318324.331572101</v>
      </c>
      <c r="R16" s="6">
        <f t="shared" si="2"/>
        <v>20927874.061519265</v>
      </c>
      <c r="S16" s="6">
        <f t="shared" si="2"/>
        <v>21555710.283364844</v>
      </c>
    </row>
    <row r="17" spans="1:19" x14ac:dyDescent="0.25">
      <c r="A17" t="s">
        <v>37</v>
      </c>
      <c r="C17" s="6">
        <v>116000</v>
      </c>
      <c r="D17" s="6">
        <f>1.02*C17</f>
        <v>118320</v>
      </c>
      <c r="E17" s="6">
        <f t="shared" ref="E17:S17" si="3">1.02*D17</f>
        <v>120686.40000000001</v>
      </c>
      <c r="F17" s="6">
        <f t="shared" si="3"/>
        <v>123100.12800000001</v>
      </c>
      <c r="G17" s="6">
        <f t="shared" si="3"/>
        <v>125562.13056000002</v>
      </c>
      <c r="H17" s="6">
        <f t="shared" si="3"/>
        <v>128073.37317120002</v>
      </c>
      <c r="I17" s="6">
        <f t="shared" si="3"/>
        <v>130634.84063462402</v>
      </c>
      <c r="J17" s="6">
        <f t="shared" si="3"/>
        <v>133247.53744731651</v>
      </c>
      <c r="K17" s="6">
        <f t="shared" si="3"/>
        <v>135912.48819626286</v>
      </c>
      <c r="L17" s="6">
        <f t="shared" si="3"/>
        <v>138630.73796018813</v>
      </c>
      <c r="M17" s="6">
        <f t="shared" si="3"/>
        <v>141403.3527193919</v>
      </c>
      <c r="N17" s="6">
        <f t="shared" si="3"/>
        <v>144231.41977377975</v>
      </c>
      <c r="O17" s="6">
        <f t="shared" si="3"/>
        <v>147116.04816925534</v>
      </c>
      <c r="P17" s="6">
        <f t="shared" si="3"/>
        <v>150058.36913264045</v>
      </c>
      <c r="Q17" s="6">
        <f t="shared" si="3"/>
        <v>153059.53651529326</v>
      </c>
      <c r="R17" s="6">
        <f t="shared" si="3"/>
        <v>156120.72724559912</v>
      </c>
      <c r="S17" s="6">
        <f t="shared" si="3"/>
        <v>159243.14179051112</v>
      </c>
    </row>
    <row r="18" spans="1:19" x14ac:dyDescent="0.25">
      <c r="A18" t="s">
        <v>38</v>
      </c>
      <c r="C18" s="6">
        <v>300000</v>
      </c>
      <c r="D18" s="6">
        <f t="shared" ref="D18:S19" si="4">1.02*C18</f>
        <v>306000</v>
      </c>
      <c r="E18" s="6">
        <f t="shared" si="4"/>
        <v>312120</v>
      </c>
      <c r="F18" s="6">
        <f t="shared" si="4"/>
        <v>318362.40000000002</v>
      </c>
      <c r="G18" s="6">
        <f t="shared" si="4"/>
        <v>324729.64800000004</v>
      </c>
      <c r="H18" s="6">
        <f t="shared" si="4"/>
        <v>331224.24096000002</v>
      </c>
      <c r="I18" s="6">
        <f t="shared" si="4"/>
        <v>337848.72577920003</v>
      </c>
      <c r="J18" s="6">
        <f t="shared" si="4"/>
        <v>344605.70029478404</v>
      </c>
      <c r="K18" s="6">
        <f t="shared" si="4"/>
        <v>351497.81430067972</v>
      </c>
      <c r="L18" s="6">
        <f t="shared" si="4"/>
        <v>358527.77058669331</v>
      </c>
      <c r="M18" s="6">
        <f t="shared" si="4"/>
        <v>365698.32599842717</v>
      </c>
      <c r="N18" s="6">
        <f t="shared" si="4"/>
        <v>373012.2925183957</v>
      </c>
      <c r="O18" s="6">
        <f t="shared" si="4"/>
        <v>380472.53836876363</v>
      </c>
      <c r="P18" s="6">
        <f t="shared" si="4"/>
        <v>388081.98913613893</v>
      </c>
      <c r="Q18" s="6">
        <f t="shared" si="4"/>
        <v>395843.62891886174</v>
      </c>
      <c r="R18" s="6">
        <f t="shared" si="4"/>
        <v>403760.50149723899</v>
      </c>
      <c r="S18" s="6">
        <f t="shared" si="4"/>
        <v>411835.71152718377</v>
      </c>
    </row>
    <row r="19" spans="1:19" x14ac:dyDescent="0.25">
      <c r="A19" t="s">
        <v>39</v>
      </c>
      <c r="C19" s="6">
        <v>60000</v>
      </c>
      <c r="D19" s="6">
        <f t="shared" si="4"/>
        <v>61200</v>
      </c>
      <c r="E19" s="6">
        <f t="shared" si="4"/>
        <v>62424</v>
      </c>
      <c r="F19" s="6">
        <f t="shared" si="4"/>
        <v>63672.480000000003</v>
      </c>
      <c r="G19" s="6">
        <f t="shared" si="4"/>
        <v>64945.929600000003</v>
      </c>
      <c r="H19" s="6">
        <f t="shared" si="4"/>
        <v>66244.848192000005</v>
      </c>
      <c r="I19" s="6">
        <f t="shared" si="4"/>
        <v>67569.745155840006</v>
      </c>
      <c r="J19" s="6">
        <f t="shared" si="4"/>
        <v>68921.140058956807</v>
      </c>
      <c r="K19" s="6">
        <f t="shared" si="4"/>
        <v>70299.562860135949</v>
      </c>
      <c r="L19" s="6">
        <f t="shared" si="4"/>
        <v>71705.554117338674</v>
      </c>
      <c r="M19" s="6">
        <f t="shared" si="4"/>
        <v>73139.665199685449</v>
      </c>
      <c r="N19" s="6">
        <f t="shared" si="4"/>
        <v>74602.458503679154</v>
      </c>
      <c r="O19" s="6">
        <f t="shared" si="4"/>
        <v>76094.507673752742</v>
      </c>
      <c r="P19" s="6">
        <f t="shared" si="4"/>
        <v>77616.397827227804</v>
      </c>
      <c r="Q19" s="6">
        <f t="shared" si="4"/>
        <v>79168.725783772359</v>
      </c>
      <c r="R19" s="6">
        <f t="shared" si="4"/>
        <v>80752.100299447804</v>
      </c>
      <c r="S19" s="6">
        <f t="shared" si="4"/>
        <v>82367.142305436762</v>
      </c>
    </row>
    <row r="20" spans="1:19" x14ac:dyDescent="0.25"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</row>
    <row r="21" spans="1:19" x14ac:dyDescent="0.25">
      <c r="A21" t="s">
        <v>40</v>
      </c>
      <c r="C21" s="6">
        <v>2941176</v>
      </c>
      <c r="D21" s="6">
        <v>2941176</v>
      </c>
      <c r="E21" s="6">
        <v>2941176</v>
      </c>
      <c r="F21" s="6">
        <v>2941176</v>
      </c>
      <c r="G21" s="6">
        <v>2941176</v>
      </c>
      <c r="H21" s="6">
        <v>2941176</v>
      </c>
      <c r="I21" s="6">
        <v>2941176</v>
      </c>
      <c r="J21" s="6">
        <v>2941176</v>
      </c>
      <c r="K21" s="6">
        <v>2941176</v>
      </c>
      <c r="L21" s="6">
        <v>2941176</v>
      </c>
      <c r="M21" s="6">
        <v>2941176</v>
      </c>
      <c r="N21" s="6">
        <v>2941176</v>
      </c>
      <c r="O21" s="6">
        <v>2941176</v>
      </c>
      <c r="P21" s="6">
        <v>2941176</v>
      </c>
      <c r="Q21" s="6">
        <v>2941176</v>
      </c>
      <c r="R21" s="6">
        <v>2941176</v>
      </c>
      <c r="S21" s="6">
        <v>2941176</v>
      </c>
    </row>
    <row r="22" spans="1:19" x14ac:dyDescent="0.25">
      <c r="A22" t="s">
        <v>41</v>
      </c>
      <c r="C22" s="6">
        <v>3113600</v>
      </c>
      <c r="D22" s="6">
        <f>1.03*C22</f>
        <v>3207008</v>
      </c>
      <c r="E22" s="6">
        <f t="shared" ref="E22:S22" si="5">1.03*D22</f>
        <v>3303218.24</v>
      </c>
      <c r="F22" s="6">
        <f t="shared" si="5"/>
        <v>3402314.7872000001</v>
      </c>
      <c r="G22" s="6">
        <f t="shared" si="5"/>
        <v>3504384.2308160001</v>
      </c>
      <c r="H22" s="6">
        <f t="shared" si="5"/>
        <v>3609515.7577404804</v>
      </c>
      <c r="I22" s="6">
        <f t="shared" si="5"/>
        <v>3717801.2304726951</v>
      </c>
      <c r="J22" s="6">
        <f t="shared" si="5"/>
        <v>3829335.267386876</v>
      </c>
      <c r="K22" s="6">
        <f t="shared" si="5"/>
        <v>3944215.3254084825</v>
      </c>
      <c r="L22" s="6">
        <f t="shared" si="5"/>
        <v>4062541.7851707372</v>
      </c>
      <c r="M22" s="6">
        <f t="shared" si="5"/>
        <v>4184418.0387258595</v>
      </c>
      <c r="N22" s="6">
        <f t="shared" si="5"/>
        <v>4309950.5798876351</v>
      </c>
      <c r="O22" s="6">
        <f t="shared" si="5"/>
        <v>4439249.0972842639</v>
      </c>
      <c r="P22" s="6">
        <f t="shared" si="5"/>
        <v>4572426.5702027921</v>
      </c>
      <c r="Q22" s="6">
        <f t="shared" si="5"/>
        <v>4709599.3673088755</v>
      </c>
      <c r="R22" s="6">
        <f t="shared" si="5"/>
        <v>4850887.3483281415</v>
      </c>
      <c r="S22" s="6">
        <f t="shared" si="5"/>
        <v>4996413.9687779862</v>
      </c>
    </row>
    <row r="23" spans="1:19" x14ac:dyDescent="0.25"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</row>
    <row r="24" spans="1:19" x14ac:dyDescent="0.25">
      <c r="A24" t="s">
        <v>42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</row>
    <row r="25" spans="1:19" x14ac:dyDescent="0.25">
      <c r="A25" t="s">
        <v>43</v>
      </c>
      <c r="C25" s="6">
        <f>-0.03*B5</f>
        <v>1500000</v>
      </c>
      <c r="D25" s="6">
        <f>1.02*C25</f>
        <v>1530000</v>
      </c>
      <c r="E25" s="6">
        <f t="shared" ref="E25:S25" si="6">1.02*D25</f>
        <v>1560600</v>
      </c>
      <c r="F25" s="6">
        <f t="shared" si="6"/>
        <v>1591812</v>
      </c>
      <c r="G25" s="6">
        <f t="shared" si="6"/>
        <v>1623648.24</v>
      </c>
      <c r="H25" s="6">
        <f t="shared" si="6"/>
        <v>1656121.2047999999</v>
      </c>
      <c r="I25" s="6">
        <f t="shared" si="6"/>
        <v>1689243.6288959999</v>
      </c>
      <c r="J25" s="6">
        <f t="shared" si="6"/>
        <v>1723028.50147392</v>
      </c>
      <c r="K25" s="6">
        <f t="shared" si="6"/>
        <v>1757489.0715033985</v>
      </c>
      <c r="L25" s="6">
        <f t="shared" si="6"/>
        <v>1792638.8529334664</v>
      </c>
      <c r="M25" s="6">
        <f t="shared" si="6"/>
        <v>1828491.6299921358</v>
      </c>
      <c r="N25" s="6">
        <f t="shared" si="6"/>
        <v>1865061.4625919785</v>
      </c>
      <c r="O25" s="6">
        <f t="shared" si="6"/>
        <v>1902362.6918438182</v>
      </c>
      <c r="P25" s="6">
        <f t="shared" si="6"/>
        <v>1940409.9456806947</v>
      </c>
      <c r="Q25" s="6">
        <f t="shared" si="6"/>
        <v>1979218.1445943087</v>
      </c>
      <c r="R25" s="6">
        <f t="shared" si="6"/>
        <v>2018802.5074861948</v>
      </c>
      <c r="S25" s="6">
        <f t="shared" si="6"/>
        <v>2059178.5576359187</v>
      </c>
    </row>
    <row r="26" spans="1:19" x14ac:dyDescent="0.25"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</row>
    <row r="27" spans="1:19" x14ac:dyDescent="0.25">
      <c r="A27" t="s">
        <v>0</v>
      </c>
      <c r="C27" s="6">
        <v>10000000</v>
      </c>
      <c r="D27" s="6">
        <f>1.02*C27</f>
        <v>10200000</v>
      </c>
      <c r="E27" s="6">
        <f t="shared" ref="E27:S27" si="7">1.02*D27</f>
        <v>10404000</v>
      </c>
      <c r="F27" s="6">
        <f t="shared" si="7"/>
        <v>10612080</v>
      </c>
      <c r="G27" s="6">
        <f t="shared" si="7"/>
        <v>10824321.6</v>
      </c>
      <c r="H27" s="6">
        <f t="shared" si="7"/>
        <v>11040808.032</v>
      </c>
      <c r="I27" s="6">
        <f t="shared" si="7"/>
        <v>11261624.192639999</v>
      </c>
      <c r="J27" s="6">
        <f t="shared" si="7"/>
        <v>11486856.676492799</v>
      </c>
      <c r="K27" s="6">
        <f t="shared" si="7"/>
        <v>11716593.810022656</v>
      </c>
      <c r="L27" s="6">
        <f t="shared" si="7"/>
        <v>11950925.686223108</v>
      </c>
      <c r="M27" s="6">
        <f t="shared" si="7"/>
        <v>12189944.199947571</v>
      </c>
      <c r="N27" s="6">
        <f t="shared" si="7"/>
        <v>12433743.083946522</v>
      </c>
      <c r="O27" s="6">
        <f t="shared" si="7"/>
        <v>12682417.945625452</v>
      </c>
      <c r="P27" s="6">
        <f t="shared" si="7"/>
        <v>12936066.304537961</v>
      </c>
      <c r="Q27" s="6">
        <f t="shared" si="7"/>
        <v>13194787.63062872</v>
      </c>
      <c r="R27" s="6">
        <f t="shared" si="7"/>
        <v>13458683.383241294</v>
      </c>
      <c r="S27" s="6">
        <f t="shared" si="7"/>
        <v>13727857.05090612</v>
      </c>
    </row>
    <row r="29" spans="1:19" x14ac:dyDescent="0.25">
      <c r="A29" s="9" t="s">
        <v>44</v>
      </c>
      <c r="C29" s="8">
        <f>SUM(C15:C28)</f>
        <v>31463582</v>
      </c>
      <c r="D29" s="8">
        <f t="shared" ref="D29:S29" si="8">SUM(D15:D28)</f>
        <v>32199494.18</v>
      </c>
      <c r="E29" s="8">
        <f t="shared" si="8"/>
        <v>32955088.525400005</v>
      </c>
      <c r="F29" s="8">
        <f t="shared" si="8"/>
        <v>33730907.597162008</v>
      </c>
      <c r="G29" s="8">
        <f t="shared" si="8"/>
        <v>34527509.274996854</v>
      </c>
      <c r="H29" s="8">
        <f t="shared" si="8"/>
        <v>35345467.197765164</v>
      </c>
      <c r="I29" s="8">
        <f t="shared" si="8"/>
        <v>36185371.216706887</v>
      </c>
      <c r="J29" s="8">
        <f t="shared" si="8"/>
        <v>37047827.861877039</v>
      </c>
      <c r="K29" s="8">
        <f t="shared" si="8"/>
        <v>37933460.822175667</v>
      </c>
      <c r="L29" s="8">
        <f t="shared" si="8"/>
        <v>38842911.439372115</v>
      </c>
      <c r="M29" s="8">
        <f t="shared" si="8"/>
        <v>39776839.216535076</v>
      </c>
      <c r="N29" s="8">
        <f t="shared" si="8"/>
        <v>40735922.34129256</v>
      </c>
      <c r="O29" s="8">
        <f t="shared" si="8"/>
        <v>41720858.224357992</v>
      </c>
      <c r="P29" s="8">
        <f t="shared" si="8"/>
        <v>42732364.053771921</v>
      </c>
      <c r="Q29" s="8">
        <f t="shared" si="8"/>
        <v>43771177.365321934</v>
      </c>
      <c r="R29" s="8">
        <f t="shared" si="8"/>
        <v>44838056.629617184</v>
      </c>
      <c r="S29" s="8">
        <f t="shared" si="8"/>
        <v>45933781.856308006</v>
      </c>
    </row>
    <row r="31" spans="1:19" x14ac:dyDescent="0.25">
      <c r="A31" t="s">
        <v>45</v>
      </c>
      <c r="C31" s="6">
        <f>C10-C29</f>
        <v>18536418</v>
      </c>
      <c r="D31" s="6">
        <f t="shared" ref="D31:S31" si="9">D10-D29</f>
        <v>18800505.82</v>
      </c>
      <c r="E31" s="6">
        <f t="shared" si="9"/>
        <v>19064911.474599995</v>
      </c>
      <c r="F31" s="6">
        <f t="shared" si="9"/>
        <v>19329492.402837992</v>
      </c>
      <c r="G31" s="6">
        <f t="shared" si="9"/>
        <v>19594098.725003146</v>
      </c>
      <c r="H31" s="6">
        <f t="shared" si="9"/>
        <v>19858572.96223484</v>
      </c>
      <c r="I31" s="6">
        <f t="shared" si="9"/>
        <v>20122749.746493116</v>
      </c>
      <c r="J31" s="6">
        <f t="shared" si="9"/>
        <v>20386455.520586967</v>
      </c>
      <c r="K31" s="6">
        <f t="shared" si="9"/>
        <v>20649508.227937624</v>
      </c>
      <c r="L31" s="6">
        <f t="shared" si="9"/>
        <v>20911716.991743445</v>
      </c>
      <c r="M31" s="6">
        <f t="shared" si="9"/>
        <v>21172881.783202797</v>
      </c>
      <c r="N31" s="6">
        <f t="shared" si="9"/>
        <v>21432793.07844007</v>
      </c>
      <c r="O31" s="6">
        <f t="shared" si="9"/>
        <v>21691231.503769293</v>
      </c>
      <c r="P31" s="6">
        <f t="shared" si="9"/>
        <v>21947967.468917914</v>
      </c>
      <c r="Q31" s="6">
        <f t="shared" si="9"/>
        <v>22202760.787821695</v>
      </c>
      <c r="R31" s="6">
        <f t="shared" si="9"/>
        <v>22455360.286589324</v>
      </c>
      <c r="S31" s="6">
        <f t="shared" si="9"/>
        <v>22705503.398222633</v>
      </c>
    </row>
    <row r="33" spans="1:19" x14ac:dyDescent="0.25">
      <c r="A33" t="s">
        <v>46</v>
      </c>
      <c r="C33" s="6">
        <f>C31*0.4</f>
        <v>7414567.2000000002</v>
      </c>
      <c r="D33" s="6">
        <f t="shared" ref="D33:S33" si="10">D31*0.4</f>
        <v>7520202.3280000007</v>
      </c>
      <c r="E33" s="6">
        <f t="shared" si="10"/>
        <v>7625964.5898399986</v>
      </c>
      <c r="F33" s="6">
        <f t="shared" si="10"/>
        <v>7731796.9611351974</v>
      </c>
      <c r="G33" s="6">
        <f t="shared" si="10"/>
        <v>7837639.4900012584</v>
      </c>
      <c r="H33" s="6">
        <f t="shared" si="10"/>
        <v>7943429.1848939359</v>
      </c>
      <c r="I33" s="6">
        <f t="shared" si="10"/>
        <v>8049099.898597247</v>
      </c>
      <c r="J33" s="6">
        <f t="shared" si="10"/>
        <v>8154582.208234787</v>
      </c>
      <c r="K33" s="6">
        <f t="shared" si="10"/>
        <v>8259803.2911750497</v>
      </c>
      <c r="L33" s="6">
        <f t="shared" si="10"/>
        <v>8364686.7966973782</v>
      </c>
      <c r="M33" s="6">
        <f t="shared" si="10"/>
        <v>8469152.7132811192</v>
      </c>
      <c r="N33" s="6">
        <f t="shared" si="10"/>
        <v>8573117.2313760277</v>
      </c>
      <c r="O33" s="6">
        <f t="shared" si="10"/>
        <v>8676492.6015077177</v>
      </c>
      <c r="P33" s="6">
        <f t="shared" si="10"/>
        <v>8779186.9875671659</v>
      </c>
      <c r="Q33" s="6">
        <f t="shared" si="10"/>
        <v>8881104.3151286785</v>
      </c>
      <c r="R33" s="6">
        <f t="shared" si="10"/>
        <v>8982144.1146357302</v>
      </c>
      <c r="S33" s="6">
        <f t="shared" si="10"/>
        <v>9082201.3592890538</v>
      </c>
    </row>
    <row r="35" spans="1:19" x14ac:dyDescent="0.25">
      <c r="A35" t="s">
        <v>47</v>
      </c>
      <c r="C35" s="6">
        <f>C31-C33</f>
        <v>11121850.800000001</v>
      </c>
      <c r="D35" s="6">
        <f t="shared" ref="D35:S35" si="11">D31-D33</f>
        <v>11280303.491999999</v>
      </c>
      <c r="E35" s="6">
        <f t="shared" si="11"/>
        <v>11438946.884759996</v>
      </c>
      <c r="F35" s="6">
        <f t="shared" si="11"/>
        <v>11597695.441702794</v>
      </c>
      <c r="G35" s="6">
        <f t="shared" si="11"/>
        <v>11756459.235001888</v>
      </c>
      <c r="H35" s="6">
        <f t="shared" si="11"/>
        <v>11915143.777340904</v>
      </c>
      <c r="I35" s="6">
        <f t="shared" si="11"/>
        <v>12073649.847895868</v>
      </c>
      <c r="J35" s="6">
        <f t="shared" si="11"/>
        <v>12231873.31235218</v>
      </c>
      <c r="K35" s="6">
        <f t="shared" si="11"/>
        <v>12389704.936762575</v>
      </c>
      <c r="L35" s="6">
        <f t="shared" si="11"/>
        <v>12547030.195046067</v>
      </c>
      <c r="M35" s="6">
        <f t="shared" si="11"/>
        <v>12703729.069921678</v>
      </c>
      <c r="N35" s="6">
        <f t="shared" si="11"/>
        <v>12859675.847064042</v>
      </c>
      <c r="O35" s="6">
        <f t="shared" si="11"/>
        <v>13014738.902261576</v>
      </c>
      <c r="P35" s="6">
        <f t="shared" si="11"/>
        <v>13168780.481350748</v>
      </c>
      <c r="Q35" s="6">
        <f t="shared" si="11"/>
        <v>13321656.472693017</v>
      </c>
      <c r="R35" s="6">
        <f t="shared" si="11"/>
        <v>13473216.171953594</v>
      </c>
      <c r="S35" s="6">
        <f t="shared" si="11"/>
        <v>13623302.038933579</v>
      </c>
    </row>
    <row r="37" spans="1:19" x14ac:dyDescent="0.25">
      <c r="A37" t="s">
        <v>48</v>
      </c>
      <c r="C37" s="6">
        <f>C21</f>
        <v>2941176</v>
      </c>
      <c r="D37" s="6">
        <f t="shared" ref="D37:S37" si="12">D21</f>
        <v>2941176</v>
      </c>
      <c r="E37" s="6">
        <f t="shared" si="12"/>
        <v>2941176</v>
      </c>
      <c r="F37" s="6">
        <f t="shared" si="12"/>
        <v>2941176</v>
      </c>
      <c r="G37" s="6">
        <f t="shared" si="12"/>
        <v>2941176</v>
      </c>
      <c r="H37" s="6">
        <f t="shared" si="12"/>
        <v>2941176</v>
      </c>
      <c r="I37" s="6">
        <f t="shared" si="12"/>
        <v>2941176</v>
      </c>
      <c r="J37" s="6">
        <f t="shared" si="12"/>
        <v>2941176</v>
      </c>
      <c r="K37" s="6">
        <f t="shared" si="12"/>
        <v>2941176</v>
      </c>
      <c r="L37" s="6">
        <f t="shared" si="12"/>
        <v>2941176</v>
      </c>
      <c r="M37" s="6">
        <f t="shared" si="12"/>
        <v>2941176</v>
      </c>
      <c r="N37" s="6">
        <f t="shared" si="12"/>
        <v>2941176</v>
      </c>
      <c r="O37" s="6">
        <f t="shared" si="12"/>
        <v>2941176</v>
      </c>
      <c r="P37" s="6">
        <f t="shared" si="12"/>
        <v>2941176</v>
      </c>
      <c r="Q37" s="6">
        <f t="shared" si="12"/>
        <v>2941176</v>
      </c>
      <c r="R37" s="6">
        <f t="shared" si="12"/>
        <v>2941176</v>
      </c>
      <c r="S37" s="6">
        <f t="shared" si="12"/>
        <v>2941176</v>
      </c>
    </row>
    <row r="39" spans="1:19" x14ac:dyDescent="0.25">
      <c r="A39" t="s">
        <v>49</v>
      </c>
    </row>
    <row r="40" spans="1:19" x14ac:dyDescent="0.25">
      <c r="A40" t="s">
        <v>50</v>
      </c>
      <c r="B40" s="6">
        <f>B5</f>
        <v>-50000000</v>
      </c>
      <c r="C40" s="6">
        <f>C35+C37</f>
        <v>14063026.800000001</v>
      </c>
      <c r="D40" s="6">
        <f t="shared" ref="D40:S40" si="13">D35+D37</f>
        <v>14221479.491999999</v>
      </c>
      <c r="E40" s="6">
        <f t="shared" si="13"/>
        <v>14380122.884759996</v>
      </c>
      <c r="F40" s="6">
        <f t="shared" si="13"/>
        <v>14538871.441702794</v>
      </c>
      <c r="G40" s="6">
        <f t="shared" si="13"/>
        <v>14697635.235001888</v>
      </c>
      <c r="H40" s="6">
        <f t="shared" si="13"/>
        <v>14856319.777340904</v>
      </c>
      <c r="I40" s="6">
        <f t="shared" si="13"/>
        <v>15014825.847895868</v>
      </c>
      <c r="J40" s="6">
        <f t="shared" si="13"/>
        <v>15173049.31235218</v>
      </c>
      <c r="K40" s="6">
        <f t="shared" si="13"/>
        <v>15330880.936762575</v>
      </c>
      <c r="L40" s="6">
        <f t="shared" si="13"/>
        <v>15488206.195046067</v>
      </c>
      <c r="M40" s="6">
        <f t="shared" si="13"/>
        <v>15644905.069921678</v>
      </c>
      <c r="N40" s="6">
        <f t="shared" si="13"/>
        <v>15800851.847064042</v>
      </c>
      <c r="O40" s="6">
        <f t="shared" si="13"/>
        <v>15955914.902261576</v>
      </c>
      <c r="P40" s="6">
        <f t="shared" si="13"/>
        <v>16109956.481350748</v>
      </c>
      <c r="Q40" s="6">
        <f t="shared" si="13"/>
        <v>16262832.472693017</v>
      </c>
      <c r="R40" s="6">
        <f t="shared" si="13"/>
        <v>16414392.171953594</v>
      </c>
      <c r="S40" s="6">
        <f t="shared" si="13"/>
        <v>16564478.038933579</v>
      </c>
    </row>
    <row r="42" spans="1:19" x14ac:dyDescent="0.25">
      <c r="A42" t="s">
        <v>51</v>
      </c>
      <c r="C42" s="6">
        <f>C40</f>
        <v>14063026.800000001</v>
      </c>
      <c r="D42" s="6">
        <f t="shared" ref="D42:M42" si="14">C42+D40</f>
        <v>28284506.291999999</v>
      </c>
      <c r="E42" s="6">
        <f t="shared" si="14"/>
        <v>42664629.176759996</v>
      </c>
      <c r="F42" s="6">
        <f t="shared" si="14"/>
        <v>57203500.618462786</v>
      </c>
      <c r="G42" s="6">
        <f t="shared" si="14"/>
        <v>71901135.853464678</v>
      </c>
      <c r="H42" s="6">
        <f t="shared" si="14"/>
        <v>86757455.630805582</v>
      </c>
      <c r="I42" s="6">
        <f t="shared" si="14"/>
        <v>101772281.47870144</v>
      </c>
      <c r="J42" s="6">
        <f t="shared" si="14"/>
        <v>116945330.79105362</v>
      </c>
      <c r="K42" s="6">
        <f t="shared" si="14"/>
        <v>132276211.72781619</v>
      </c>
      <c r="L42" s="6">
        <f t="shared" si="14"/>
        <v>147764417.92286226</v>
      </c>
      <c r="M42" s="6">
        <f t="shared" si="14"/>
        <v>163409322.99278393</v>
      </c>
      <c r="N42" s="6"/>
      <c r="O42" s="6"/>
      <c r="P42" s="6"/>
      <c r="Q42" s="6"/>
      <c r="R42" s="6"/>
    </row>
    <row r="43" spans="1:19" x14ac:dyDescent="0.25">
      <c r="F43" t="s">
        <v>52</v>
      </c>
    </row>
    <row r="44" spans="1:19" x14ac:dyDescent="0.25">
      <c r="A44" t="s">
        <v>53</v>
      </c>
      <c r="B44" s="11">
        <f>NPV(B47,B40:S40)</f>
        <v>80753497.627567872</v>
      </c>
      <c r="C44" s="3"/>
    </row>
    <row r="45" spans="1:19" x14ac:dyDescent="0.25">
      <c r="A45" t="s">
        <v>54</v>
      </c>
      <c r="B45" s="4">
        <f>IRR(B40:S40,0.11)</f>
        <v>0.28756042124945735</v>
      </c>
    </row>
    <row r="46" spans="1:19" x14ac:dyDescent="0.25">
      <c r="B46" s="4"/>
    </row>
    <row r="47" spans="1:19" x14ac:dyDescent="0.25">
      <c r="A47" t="s">
        <v>55</v>
      </c>
      <c r="B47" s="4">
        <v>0.08</v>
      </c>
    </row>
  </sheetData>
  <customSheetViews>
    <customSheetView guid="{7DCB9960-08D5-4449-90C1-2359FB89137D}">
      <selection activeCell="E4" activeCellId="1" sqref="C15 C1:E4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H11" sqref="H11"/>
    </sheetView>
  </sheetViews>
  <sheetFormatPr defaultRowHeight="15" x14ac:dyDescent="0.25"/>
  <cols>
    <col min="1" max="1" width="14.85546875" customWidth="1"/>
    <col min="2" max="2" width="10" bestFit="1" customWidth="1"/>
    <col min="3" max="3" width="14.85546875" bestFit="1" customWidth="1"/>
  </cols>
  <sheetData>
    <row r="1" spans="1:3" x14ac:dyDescent="0.25">
      <c r="A1">
        <v>310891476.92838752</v>
      </c>
      <c r="B1">
        <f>1.05*A1</f>
        <v>326436050.77480692</v>
      </c>
      <c r="C1" s="63">
        <f>B1*1.05</f>
        <v>342757853.31354725</v>
      </c>
    </row>
    <row r="9" spans="1:3" x14ac:dyDescent="0.25">
      <c r="A9" t="s">
        <v>138</v>
      </c>
    </row>
    <row r="10" spans="1:3" x14ac:dyDescent="0.25">
      <c r="A10" t="s">
        <v>139</v>
      </c>
      <c r="B10">
        <v>3</v>
      </c>
    </row>
    <row r="11" spans="1:3" x14ac:dyDescent="0.25">
      <c r="A11" t="s">
        <v>140</v>
      </c>
      <c r="B11">
        <v>20</v>
      </c>
    </row>
    <row r="12" spans="1:3" x14ac:dyDescent="0.25">
      <c r="A12" t="s">
        <v>141</v>
      </c>
      <c r="B12">
        <v>5</v>
      </c>
    </row>
    <row r="13" spans="1:3" x14ac:dyDescent="0.25">
      <c r="A13" t="s">
        <v>142</v>
      </c>
      <c r="B13">
        <f>B10*B11+B12</f>
        <v>65</v>
      </c>
    </row>
    <row r="14" spans="1:3" x14ac:dyDescent="0.25">
      <c r="A14" t="s">
        <v>143</v>
      </c>
      <c r="B14">
        <f>25*8400</f>
        <v>210000</v>
      </c>
      <c r="C14" t="s">
        <v>144</v>
      </c>
    </row>
    <row r="15" spans="1:3" x14ac:dyDescent="0.25">
      <c r="A15" t="s">
        <v>145</v>
      </c>
      <c r="B15">
        <f>B14*60</f>
        <v>12600000</v>
      </c>
    </row>
    <row r="16" spans="1:3" x14ac:dyDescent="0.25">
      <c r="A16" t="s">
        <v>146</v>
      </c>
      <c r="B16">
        <f>0.4*B15</f>
        <v>5040000</v>
      </c>
    </row>
    <row r="17" spans="1:3" x14ac:dyDescent="0.25">
      <c r="A17" t="s">
        <v>147</v>
      </c>
      <c r="B17">
        <f>(80000)*5</f>
        <v>400000</v>
      </c>
      <c r="C17" t="s">
        <v>148</v>
      </c>
    </row>
    <row r="18" spans="1:3" x14ac:dyDescent="0.25">
      <c r="A18" t="s">
        <v>149</v>
      </c>
      <c r="B18">
        <f>0.4*B17</f>
        <v>160000</v>
      </c>
    </row>
    <row r="20" spans="1:3" x14ac:dyDescent="0.25">
      <c r="A20" t="s">
        <v>150</v>
      </c>
      <c r="B20">
        <f>B15+B16+B17+B18</f>
        <v>18200000</v>
      </c>
    </row>
    <row r="22" spans="1:3" x14ac:dyDescent="0.25">
      <c r="B22">
        <f>B20*0.3</f>
        <v>5460000</v>
      </c>
    </row>
    <row r="23" spans="1:3" x14ac:dyDescent="0.25">
      <c r="B23">
        <f>B20+B22</f>
        <v>23660000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Equipement List</vt:lpstr>
      <vt:lpstr>Raw Materials</vt:lpstr>
      <vt:lpstr>Utilities</vt:lpstr>
      <vt:lpstr>Economics</vt:lpstr>
      <vt:lpstr>Jerry's Sample</vt:lpstr>
      <vt:lpstr>Sheet1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Vijeta Patel</dc:creator>
  <cp:lastModifiedBy>Vijeta Patel</cp:lastModifiedBy>
  <dcterms:created xsi:type="dcterms:W3CDTF">2011-02-25T21:23:58Z</dcterms:created>
  <dcterms:modified xsi:type="dcterms:W3CDTF">2011-03-07T06:17:09Z</dcterms:modified>
</cp:coreProperties>
</file>