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935"/>
  </bookViews>
  <sheets>
    <sheet name="energy balance" sheetId="2" r:id="rId1"/>
    <sheet name="Sheet1" sheetId="1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5" i="2" l="1"/>
  <c r="F3" i="2"/>
  <c r="G3" i="2" s="1"/>
  <c r="F5" i="2"/>
  <c r="I20" i="1"/>
  <c r="C3" i="2"/>
  <c r="F9" i="2"/>
  <c r="F8" i="2"/>
  <c r="F4" i="2"/>
  <c r="G4" i="2" s="1"/>
  <c r="C4" i="2"/>
  <c r="C5" i="2"/>
  <c r="C7" i="2"/>
  <c r="F6" i="2"/>
  <c r="C6" i="2"/>
  <c r="F2" i="2"/>
  <c r="G2" i="2" s="1"/>
  <c r="C2" i="2"/>
  <c r="E10" i="2"/>
  <c r="D10" i="2"/>
  <c r="B10" i="2"/>
  <c r="H10" i="2" l="1"/>
  <c r="I7" i="2" s="1"/>
  <c r="F10" i="2"/>
  <c r="C10" i="2"/>
  <c r="G6" i="2"/>
  <c r="D45" i="1"/>
  <c r="D39" i="1"/>
  <c r="I4" i="2" l="1"/>
  <c r="I6" i="2"/>
  <c r="I5" i="2"/>
  <c r="I2" i="2"/>
  <c r="G10" i="2"/>
  <c r="C24" i="1"/>
  <c r="C23" i="1"/>
  <c r="C22" i="1"/>
  <c r="C21" i="1"/>
  <c r="C20" i="1"/>
  <c r="K21" i="1"/>
  <c r="K23" i="1"/>
  <c r="K22" i="1"/>
  <c r="K24" i="1"/>
  <c r="I10" i="2" l="1"/>
  <c r="C28" i="1"/>
  <c r="K28" i="1"/>
  <c r="F21" i="1" l="1"/>
  <c r="G21" i="1" s="1"/>
  <c r="L21" i="1" s="1"/>
  <c r="L22" i="1"/>
  <c r="L23" i="1"/>
  <c r="F24" i="1"/>
  <c r="G24" i="1" s="1"/>
  <c r="L24" i="1" s="1"/>
  <c r="F25" i="1"/>
  <c r="F26" i="1"/>
  <c r="F27" i="1"/>
  <c r="F20" i="1"/>
  <c r="G20" i="1" s="1"/>
  <c r="L20" i="1" s="1"/>
  <c r="D34" i="1"/>
  <c r="D33" i="1"/>
  <c r="H24" i="1"/>
  <c r="H23" i="1"/>
  <c r="D41" i="1" s="1"/>
  <c r="H22" i="1"/>
  <c r="H21" i="1"/>
  <c r="H20" i="1"/>
  <c r="L28" i="1" l="1"/>
  <c r="D37" i="1"/>
  <c r="D42" i="1"/>
  <c r="H28" i="1"/>
  <c r="I23" i="1" s="1"/>
  <c r="D44" i="1" l="1"/>
  <c r="I34" i="1"/>
  <c r="I22" i="1"/>
  <c r="I21" i="1"/>
  <c r="I24" i="1"/>
  <c r="I28" i="1" l="1"/>
  <c r="I33" i="1" s="1"/>
  <c r="K40" i="1" s="1"/>
  <c r="D38" i="1" l="1"/>
</calcChain>
</file>

<file path=xl/sharedStrings.xml><?xml version="1.0" encoding="utf-8"?>
<sst xmlns="http://schemas.openxmlformats.org/spreadsheetml/2006/main" count="80" uniqueCount="50">
  <si>
    <t>CO</t>
  </si>
  <si>
    <t>CH4</t>
  </si>
  <si>
    <t>H2</t>
  </si>
  <si>
    <t>N2</t>
  </si>
  <si>
    <t>H2O</t>
  </si>
  <si>
    <t>H2S</t>
  </si>
  <si>
    <t>COS</t>
  </si>
  <si>
    <t>CO2</t>
  </si>
  <si>
    <t>HTS eactor</t>
  </si>
  <si>
    <t>lbmoles/day</t>
  </si>
  <si>
    <t>TOTAL</t>
  </si>
  <si>
    <t>Internal Energy at 750 F</t>
  </si>
  <si>
    <t>ΔH reaction</t>
  </si>
  <si>
    <t>btu/lbm-mole</t>
  </si>
  <si>
    <t>Total ΔH reaction</t>
  </si>
  <si>
    <t>btu/day</t>
  </si>
  <si>
    <t>Intenal energy at 390 F</t>
  </si>
  <si>
    <t>Temperature TB</t>
  </si>
  <si>
    <t>Cp (btu/lbm-mole R)</t>
  </si>
  <si>
    <t>Cv (btu/lbmole* R)</t>
  </si>
  <si>
    <t>outlet syngas Composition form (HTS)</t>
  </si>
  <si>
    <t>energy absorbed by the cooler 1 (BTU/DAY)</t>
  </si>
  <si>
    <t>energy absorbed by the cooler 2 (BTU/DAY)</t>
  </si>
  <si>
    <t>outlet syngas composition in LTS (lbm/day)</t>
  </si>
  <si>
    <t>R</t>
  </si>
  <si>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F</t>
    </r>
  </si>
  <si>
    <t>Total moles of hydrogen created in HTS</t>
  </si>
  <si>
    <t>Moles of hydrogen Created in LTS</t>
  </si>
  <si>
    <t>lbmole/day</t>
  </si>
  <si>
    <t>total ΔH reaction</t>
  </si>
  <si>
    <t>average Cp for LTS</t>
  </si>
  <si>
    <r>
      <t>Temperature T</t>
    </r>
    <r>
      <rPr>
        <vertAlign val="subscript"/>
        <sz val="11"/>
        <color theme="1"/>
        <rFont val="Calibri"/>
        <family val="2"/>
        <scheme val="minor"/>
      </rPr>
      <t>D</t>
    </r>
  </si>
  <si>
    <r>
      <t xml:space="preserve">Assuming that cooling water is coming at 85 </t>
    </r>
    <r>
      <rPr>
        <sz val="11"/>
        <color theme="1"/>
        <rFont val="Calibri"/>
        <family val="2"/>
      </rPr>
      <t>⁰F</t>
    </r>
  </si>
  <si>
    <t>saturated steam is being created 350 ⁰F</t>
  </si>
  <si>
    <t xml:space="preserve">amount of stam produced </t>
  </si>
  <si>
    <t>Inlet Fraction  Clean Syngas Component Flow for HTS</t>
  </si>
  <si>
    <t>Lbs/day for HTS</t>
  </si>
  <si>
    <t>(lbmoles/day) for HTS</t>
  </si>
  <si>
    <t>Average Cp (btu/lbmole* R) for HTS</t>
  </si>
  <si>
    <t>outlet syngas composition in LTS (lbmole/day)</t>
  </si>
  <si>
    <t>ΔH of water(btu/lbm)</t>
  </si>
  <si>
    <t>-</t>
  </si>
  <si>
    <t xml:space="preserve">BASIS: </t>
  </si>
  <si>
    <t>Total</t>
  </si>
  <si>
    <t>n/a</t>
  </si>
  <si>
    <t>outlet syngas Comp  (lbmole/day) form (HTS)</t>
  </si>
  <si>
    <t>Assuming that cooling water is coming at 85 ⁰F</t>
  </si>
  <si>
    <t>H2*</t>
  </si>
  <si>
    <t>CH4*</t>
  </si>
  <si>
    <t>amount of steam produced (lb-mol/day)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</si>
</sst>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/>
    <xf numFmtId="0" fontId="1" fillId="0" borderId="1" xfId="0" applyFont="1" applyBorder="1"/>
    <xf numFmtId="1" fontId="0" fillId="0" borderId="0" xfId="0" applyNumberFormat="1" applyBorder="1"/>
    <xf numFmtId="0" fontId="0" fillId="0" borderId="0" xfId="0" applyBorder="1" applyAlignment="1">
      <alignment vertical="top" wrapText="1"/>
    </xf>
    <xf numFmtId="0" fontId="1" fillId="0" borderId="2" xfId="0" applyFont="1" applyBorder="1"/>
    <xf numFmtId="1" fontId="0" fillId="0" borderId="3" xfId="0" applyNumberFormat="1" applyBorder="1"/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0" fillId="4" borderId="4" xfId="0" applyFill="1" applyBorder="1" applyAlignment="1">
      <alignment wrapText="1"/>
    </xf>
    <xf numFmtId="0" fontId="0" fillId="0" borderId="4" xfId="0" applyBorder="1"/>
    <xf numFmtId="0" fontId="4" fillId="0" borderId="4" xfId="0" applyFont="1" applyBorder="1"/>
    <xf numFmtId="0" fontId="0" fillId="0" borderId="4" xfId="0" applyBorder="1" applyAlignment="1"/>
    <xf numFmtId="0" fontId="3" fillId="4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4" borderId="4" xfId="0" applyFill="1" applyBorder="1"/>
    <xf numFmtId="0" fontId="0" fillId="3" borderId="4" xfId="0" applyFill="1" applyBorder="1" applyAlignment="1">
      <alignment wrapText="1"/>
    </xf>
    <xf numFmtId="0" fontId="3" fillId="0" borderId="4" xfId="0" applyFont="1" applyBorder="1"/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wrapText="1"/>
    </xf>
    <xf numFmtId="0" fontId="0" fillId="0" borderId="4" xfId="0" applyBorder="1" applyAlignment="1"/>
    <xf numFmtId="0" fontId="0" fillId="0" borderId="0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0" xfId="0" applyNumberFormat="1" applyBorder="1"/>
    <xf numFmtId="164" fontId="4" fillId="0" borderId="0" xfId="0" applyNumberFormat="1" applyFont="1" applyBorder="1"/>
    <xf numFmtId="0" fontId="6" fillId="5" borderId="0" xfId="0" applyFont="1" applyFill="1" applyBorder="1" applyAlignment="1">
      <alignment wrapText="1"/>
    </xf>
    <xf numFmtId="0" fontId="6" fillId="5" borderId="0" xfId="0" applyFont="1" applyFill="1"/>
    <xf numFmtId="164" fontId="6" fillId="5" borderId="0" xfId="0" applyNumberFormat="1" applyFont="1" applyFill="1"/>
    <xf numFmtId="0" fontId="0" fillId="0" borderId="0" xfId="0" applyAlignment="1">
      <alignment horizont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Border="1" applyAlignment="1"/>
    <xf numFmtId="0" fontId="0" fillId="6" borderId="0" xfId="0" applyFill="1" applyBorder="1"/>
    <xf numFmtId="164" fontId="0" fillId="6" borderId="0" xfId="0" applyNumberFormat="1" applyFill="1" applyBorder="1"/>
    <xf numFmtId="164" fontId="0" fillId="6" borderId="0" xfId="0" applyNumberFormat="1" applyFill="1" applyBorder="1" applyAlignment="1">
      <alignment horizontal="center"/>
    </xf>
    <xf numFmtId="164" fontId="0" fillId="6" borderId="0" xfId="0" applyNumberFormat="1" applyFill="1" applyAlignment="1">
      <alignment horizontal="center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13</xdr:row>
      <xdr:rowOff>171451</xdr:rowOff>
    </xdr:from>
    <xdr:to>
      <xdr:col>2</xdr:col>
      <xdr:colOff>704850</xdr:colOff>
      <xdr:row>21</xdr:row>
      <xdr:rowOff>390525</xdr:rowOff>
    </xdr:to>
    <xdr:sp macro="" textlink="">
      <xdr:nvSpPr>
        <xdr:cNvPr id="2" name="Rounded Rectangle 1"/>
        <xdr:cNvSpPr/>
      </xdr:nvSpPr>
      <xdr:spPr>
        <a:xfrm>
          <a:off x="1524000" y="3219451"/>
          <a:ext cx="1314450" cy="174307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200" b="1" u="sng">
              <a:solidFill>
                <a:srgbClr val="FF0000"/>
              </a:solidFill>
            </a:rPr>
            <a:t>HTS REACTOR</a:t>
          </a:r>
        </a:p>
        <a:p>
          <a:pPr algn="l"/>
          <a:r>
            <a:rPr lang="en-US" sz="1200" b="1" u="sng">
              <a:solidFill>
                <a:srgbClr val="FF0000"/>
              </a:solidFill>
            </a:rPr>
            <a:t>(lb-mols/day)</a:t>
          </a:r>
        </a:p>
        <a:p>
          <a:pPr algn="l"/>
          <a:endParaRPr lang="en-US" sz="1100"/>
        </a:p>
      </xdr:txBody>
    </xdr:sp>
    <xdr:clientData/>
  </xdr:twoCellAnchor>
  <xdr:twoCellAnchor>
    <xdr:from>
      <xdr:col>3</xdr:col>
      <xdr:colOff>247650</xdr:colOff>
      <xdr:row>13</xdr:row>
      <xdr:rowOff>180975</xdr:rowOff>
    </xdr:from>
    <xdr:to>
      <xdr:col>4</xdr:col>
      <xdr:colOff>733424</xdr:colOff>
      <xdr:row>16</xdr:row>
      <xdr:rowOff>180975</xdr:rowOff>
    </xdr:to>
    <xdr:sp macro="" textlink="">
      <xdr:nvSpPr>
        <xdr:cNvPr id="3" name="Right Arrow 2"/>
        <xdr:cNvSpPr/>
      </xdr:nvSpPr>
      <xdr:spPr>
        <a:xfrm>
          <a:off x="3238500" y="3228975"/>
          <a:ext cx="1447799" cy="571500"/>
        </a:xfrm>
        <a:prstGeom prst="rightArrow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 = 1480 F</a:t>
          </a:r>
        </a:p>
      </xdr:txBody>
    </xdr:sp>
    <xdr:clientData/>
  </xdr:twoCellAnchor>
  <xdr:twoCellAnchor>
    <xdr:from>
      <xdr:col>0</xdr:col>
      <xdr:colOff>285750</xdr:colOff>
      <xdr:row>16</xdr:row>
      <xdr:rowOff>104775</xdr:rowOff>
    </xdr:from>
    <xdr:to>
      <xdr:col>1</xdr:col>
      <xdr:colOff>225934</xdr:colOff>
      <xdr:row>19</xdr:row>
      <xdr:rowOff>113157</xdr:rowOff>
    </xdr:to>
    <xdr:sp macro="" textlink="">
      <xdr:nvSpPr>
        <xdr:cNvPr id="4" name="Right Arrow 3"/>
        <xdr:cNvSpPr/>
      </xdr:nvSpPr>
      <xdr:spPr>
        <a:xfrm>
          <a:off x="285750" y="3724275"/>
          <a:ext cx="1159384" cy="579882"/>
        </a:xfrm>
        <a:prstGeom prst="rightArrow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 =750 F</a:t>
          </a:r>
          <a:r>
            <a:rPr lang="en-US" sz="1600" b="1" baseline="0"/>
            <a:t> </a:t>
          </a:r>
          <a:endParaRPr lang="en-US" sz="1600" b="1"/>
        </a:p>
      </xdr:txBody>
    </xdr:sp>
    <xdr:clientData/>
  </xdr:twoCellAnchor>
  <xdr:twoCellAnchor>
    <xdr:from>
      <xdr:col>5</xdr:col>
      <xdr:colOff>219073</xdr:colOff>
      <xdr:row>13</xdr:row>
      <xdr:rowOff>171450</xdr:rowOff>
    </xdr:from>
    <xdr:to>
      <xdr:col>7</xdr:col>
      <xdr:colOff>95250</xdr:colOff>
      <xdr:row>21</xdr:row>
      <xdr:rowOff>495300</xdr:rowOff>
    </xdr:to>
    <xdr:sp macro="" textlink="">
      <xdr:nvSpPr>
        <xdr:cNvPr id="5" name="Oval 4"/>
        <xdr:cNvSpPr/>
      </xdr:nvSpPr>
      <xdr:spPr>
        <a:xfrm>
          <a:off x="5172073" y="3219450"/>
          <a:ext cx="1304927" cy="1847850"/>
        </a:xfrm>
        <a:prstGeom prst="ellipse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Cooler (lb-moles/day)</a:t>
          </a:r>
          <a:endParaRPr lang="en-US">
            <a:solidFill>
              <a:sysClr val="windowText" lastClr="000000"/>
            </a:solidFill>
            <a:effectLst/>
          </a:endParaRPr>
        </a:p>
        <a:p>
          <a:pPr algn="l"/>
          <a:endParaRPr lang="en-US" sz="1100" b="1" u="sng"/>
        </a:p>
        <a:p>
          <a:pPr algn="l"/>
          <a:endParaRPr lang="en-US" sz="1100" b="1" u="sng"/>
        </a:p>
      </xdr:txBody>
    </xdr:sp>
    <xdr:clientData/>
  </xdr:twoCellAnchor>
  <xdr:twoCellAnchor>
    <xdr:from>
      <xdr:col>7</xdr:col>
      <xdr:colOff>152401</xdr:colOff>
      <xdr:row>18</xdr:row>
      <xdr:rowOff>38099</xdr:rowOff>
    </xdr:from>
    <xdr:to>
      <xdr:col>8</xdr:col>
      <xdr:colOff>171450</xdr:colOff>
      <xdr:row>21</xdr:row>
      <xdr:rowOff>95250</xdr:rowOff>
    </xdr:to>
    <xdr:sp macro="" textlink="">
      <xdr:nvSpPr>
        <xdr:cNvPr id="6" name="Right Arrow 5"/>
        <xdr:cNvSpPr/>
      </xdr:nvSpPr>
      <xdr:spPr>
        <a:xfrm>
          <a:off x="6534151" y="4038599"/>
          <a:ext cx="1095374" cy="628651"/>
        </a:xfrm>
        <a:prstGeom prst="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</a:t>
          </a:r>
          <a:r>
            <a:rPr lang="en-US" sz="1600" b="1" baseline="0"/>
            <a:t> = 390 F</a:t>
          </a:r>
          <a:endParaRPr lang="en-US" sz="1600" b="1"/>
        </a:p>
      </xdr:txBody>
    </xdr:sp>
    <xdr:clientData/>
  </xdr:twoCellAnchor>
  <xdr:oneCellAnchor>
    <xdr:from>
      <xdr:col>1</xdr:col>
      <xdr:colOff>466725</xdr:colOff>
      <xdr:row>16</xdr:row>
      <xdr:rowOff>142875</xdr:rowOff>
    </xdr:from>
    <xdr:ext cx="1033424" cy="1123950"/>
    <xdr:sp macro="" textlink="">
      <xdr:nvSpPr>
        <xdr:cNvPr id="7" name="TextBox 6"/>
        <xdr:cNvSpPr txBox="1"/>
      </xdr:nvSpPr>
      <xdr:spPr>
        <a:xfrm>
          <a:off x="1685925" y="3762375"/>
          <a:ext cx="1033424" cy="112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 b="1">
              <a:solidFill>
                <a:sysClr val="windowText" lastClr="000000"/>
              </a:solidFill>
            </a:rPr>
            <a:t>CO</a:t>
          </a:r>
          <a:r>
            <a:rPr lang="en-US" sz="1100" b="1" baseline="0">
              <a:solidFill>
                <a:sysClr val="windowText" lastClr="000000"/>
              </a:solidFill>
            </a:rPr>
            <a:t> = 2.61E06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H2O = 2.37E06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N2 = 5.77E05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H2 = 2.20E04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CO2 = 3.98E04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CH4 = 6.01E03</a:t>
          </a:r>
        </a:p>
        <a:p>
          <a:endParaRPr lang="en-US" sz="1100" baseline="0"/>
        </a:p>
        <a:p>
          <a:endParaRPr lang="en-US" sz="1100"/>
        </a:p>
      </xdr:txBody>
    </xdr:sp>
    <xdr:clientData/>
  </xdr:oneCellAnchor>
  <xdr:oneCellAnchor>
    <xdr:from>
      <xdr:col>5</xdr:col>
      <xdr:colOff>361950</xdr:colOff>
      <xdr:row>17</xdr:row>
      <xdr:rowOff>19050</xdr:rowOff>
    </xdr:from>
    <xdr:ext cx="1052596" cy="1133475"/>
    <xdr:sp macro="" textlink="">
      <xdr:nvSpPr>
        <xdr:cNvPr id="14" name="TextBox 13"/>
        <xdr:cNvSpPr txBox="1"/>
      </xdr:nvSpPr>
      <xdr:spPr>
        <a:xfrm>
          <a:off x="5314950" y="3829050"/>
          <a:ext cx="1052596" cy="11334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 b="1"/>
            <a:t>CO = </a:t>
          </a:r>
          <a:r>
            <a:rPr 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0.00</a:t>
          </a:r>
        </a:p>
        <a:p>
          <a:r>
            <a:rPr 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H2O</a:t>
          </a:r>
          <a:r>
            <a:rPr lang="en-US" sz="1100" b="1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0.00</a:t>
          </a:r>
          <a:r>
            <a:rPr lang="en-US" b="1"/>
            <a:t> </a:t>
          </a:r>
        </a:p>
        <a:p>
          <a:r>
            <a:rPr lang="en-US" sz="1100" b="1"/>
            <a:t>N2 = 1.44E04</a:t>
          </a:r>
        </a:p>
        <a:p>
          <a:r>
            <a:rPr lang="en-US" sz="1100" b="1"/>
            <a:t>H2</a:t>
          </a:r>
          <a:r>
            <a:rPr lang="en-US" sz="1100" b="1" baseline="0"/>
            <a:t> = 3.69E05</a:t>
          </a:r>
        </a:p>
        <a:p>
          <a:r>
            <a:rPr lang="en-US" sz="1100" b="1" baseline="0"/>
            <a:t>CO2 = 2.62E 05</a:t>
          </a:r>
        </a:p>
        <a:p>
          <a:r>
            <a:rPr lang="en-US" sz="1100" b="1"/>
            <a:t>CH4 = 262.54</a:t>
          </a:r>
        </a:p>
      </xdr:txBody>
    </xdr:sp>
    <xdr:clientData/>
  </xdr:oneCellAnchor>
  <xdr:oneCellAnchor>
    <xdr:from>
      <xdr:col>5</xdr:col>
      <xdr:colOff>381000</xdr:colOff>
      <xdr:row>16</xdr:row>
      <xdr:rowOff>57150</xdr:rowOff>
    </xdr:from>
    <xdr:ext cx="184731" cy="264560"/>
    <xdr:sp macro="" textlink="">
      <xdr:nvSpPr>
        <xdr:cNvPr id="15" name="TextBox 14"/>
        <xdr:cNvSpPr txBox="1"/>
      </xdr:nvSpPr>
      <xdr:spPr>
        <a:xfrm>
          <a:off x="53340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790575</xdr:colOff>
      <xdr:row>21</xdr:row>
      <xdr:rowOff>561975</xdr:rowOff>
    </xdr:from>
    <xdr:ext cx="4924425" cy="352425"/>
    <xdr:sp macro="" textlink="">
      <xdr:nvSpPr>
        <xdr:cNvPr id="16" name="TextBox 15"/>
        <xdr:cNvSpPr txBox="1"/>
      </xdr:nvSpPr>
      <xdr:spPr>
        <a:xfrm>
          <a:off x="2009775" y="5124450"/>
          <a:ext cx="4924425" cy="352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600" b="1"/>
            <a:t>Assuming</a:t>
          </a:r>
          <a:r>
            <a:rPr lang="en-US" sz="1600" b="1" baseline="0"/>
            <a:t> overall process at constant pressure of 290 psi</a:t>
          </a:r>
        </a:p>
        <a:p>
          <a:endParaRPr lang="en-US" sz="1600" b="1"/>
        </a:p>
      </xdr:txBody>
    </xdr:sp>
    <xdr:clientData/>
  </xdr:oneCellAnchor>
  <xdr:twoCellAnchor>
    <xdr:from>
      <xdr:col>4</xdr:col>
      <xdr:colOff>285750</xdr:colOff>
      <xdr:row>11</xdr:row>
      <xdr:rowOff>9525</xdr:rowOff>
    </xdr:from>
    <xdr:to>
      <xdr:col>7</xdr:col>
      <xdr:colOff>828674</xdr:colOff>
      <xdr:row>14</xdr:row>
      <xdr:rowOff>76200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7" name="Right Arrow 16"/>
            <xdr:cNvSpPr/>
          </xdr:nvSpPr>
          <xdr:spPr>
            <a:xfrm>
              <a:off x="4238625" y="2667000"/>
              <a:ext cx="2971799" cy="638175"/>
            </a:xfrm>
            <a:prstGeom prst="rightArrow">
              <a:avLst/>
            </a:prstGeom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 b="1"/>
                <a:t>energy</a:t>
              </a:r>
              <a:r>
                <a:rPr lang="en-US" sz="1100" b="1" baseline="0"/>
                <a:t> absorbed by cooler </a:t>
              </a:r>
              <a:r>
                <a:rPr lang="el-GR" sz="1100" b="1"/>
                <a:t>Δ</a:t>
              </a:r>
              <a:r>
                <a:rPr lang="en-US" sz="1100" b="1"/>
                <a:t>H = 5.58E09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1" i="1">
                          <a:latin typeface="Cambria Math"/>
                        </a:rPr>
                      </m:ctrlPr>
                    </m:fPr>
                    <m:num>
                      <m:r>
                        <a:rPr lang="en-US" sz="1100" b="1" i="1">
                          <a:latin typeface="Cambria Math"/>
                        </a:rPr>
                        <m:t>𝑩𝒕𝒖</m:t>
                      </m:r>
                    </m:num>
                    <m:den>
                      <m:r>
                        <a:rPr lang="en-US" sz="1100" b="1" i="1">
                          <a:latin typeface="Cambria Math"/>
                        </a:rPr>
                        <m:t>𝒅𝒂𝒚</m:t>
                      </m:r>
                    </m:den>
                  </m:f>
                </m:oMath>
              </a14:m>
              <a:r>
                <a:rPr lang="en-US" sz="1100" baseline="0"/>
                <a:t> </a:t>
              </a:r>
              <a:endParaRPr lang="en-US" sz="1100"/>
            </a:p>
          </xdr:txBody>
        </xdr:sp>
      </mc:Choice>
      <mc:Fallback>
        <xdr:sp macro="" textlink="">
          <xdr:nvSpPr>
            <xdr:cNvPr id="17" name="Right Arrow 16"/>
            <xdr:cNvSpPr/>
          </xdr:nvSpPr>
          <xdr:spPr>
            <a:xfrm>
              <a:off x="4238625" y="2667000"/>
              <a:ext cx="2971799" cy="638175"/>
            </a:xfrm>
            <a:prstGeom prst="rightArrow">
              <a:avLst/>
            </a:prstGeom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 b="1"/>
                <a:t>energy</a:t>
              </a:r>
              <a:r>
                <a:rPr lang="en-US" sz="1100" b="1" baseline="0"/>
                <a:t> absorbed by cooler </a:t>
              </a:r>
              <a:r>
                <a:rPr lang="el-GR" sz="1100" b="1"/>
                <a:t>Δ</a:t>
              </a:r>
              <a:r>
                <a:rPr lang="en-US" sz="1100" b="1"/>
                <a:t>H = 5.58E09 </a:t>
              </a:r>
              <a:r>
                <a:rPr lang="en-US" sz="1100" b="1" i="0">
                  <a:latin typeface="Cambria Math"/>
                </a:rPr>
                <a:t>𝑩𝒕𝒖/𝒅𝒂𝒚</a:t>
              </a:r>
              <a:r>
                <a:rPr lang="en-US" sz="1100" baseline="0"/>
                <a:t> </a:t>
              </a:r>
              <a:endParaRPr lang="en-US" sz="1100"/>
            </a:p>
          </xdr:txBody>
        </xdr:sp>
      </mc:Fallback>
    </mc:AlternateContent>
    <xdr:clientData/>
  </xdr:twoCellAnchor>
  <xdr:oneCellAnchor>
    <xdr:from>
      <xdr:col>5</xdr:col>
      <xdr:colOff>152400</xdr:colOff>
      <xdr:row>12</xdr:row>
      <xdr:rowOff>142875</xdr:rowOff>
    </xdr:from>
    <xdr:ext cx="184731" cy="264560"/>
    <xdr:sp macro="" textlink="">
      <xdr:nvSpPr>
        <xdr:cNvPr id="18" name="TextBox 17"/>
        <xdr:cNvSpPr txBox="1"/>
      </xdr:nvSpPr>
      <xdr:spPr>
        <a:xfrm>
          <a:off x="5105400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1095376</xdr:colOff>
      <xdr:row>11</xdr:row>
      <xdr:rowOff>19050</xdr:rowOff>
    </xdr:from>
    <xdr:to>
      <xdr:col>3</xdr:col>
      <xdr:colOff>676276</xdr:colOff>
      <xdr:row>14</xdr:row>
      <xdr:rowOff>66675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9" name="Right Arrow 18"/>
            <xdr:cNvSpPr/>
          </xdr:nvSpPr>
          <xdr:spPr>
            <a:xfrm>
              <a:off x="1095376" y="2686050"/>
              <a:ext cx="2571750" cy="619125"/>
            </a:xfrm>
            <a:prstGeom prst="rightArrow">
              <a:avLst/>
            </a:prstGeom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 b="1"/>
                <a:t>Heat of Reaction</a:t>
              </a:r>
              <a:r>
                <a:rPr lang="en-US" sz="1100" b="1" baseline="0"/>
                <a:t> </a:t>
              </a:r>
              <a:r>
                <a:rPr lang="el-GR" sz="1100" b="1" baseline="0"/>
                <a:t>Δ</a:t>
              </a:r>
              <a:r>
                <a:rPr lang="en-US" sz="1100" b="1" baseline="0"/>
                <a:t>H = -3.74E09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1" i="1">
                          <a:solidFill>
                            <a:schemeClr val="lt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100" b="1" i="1">
                          <a:solidFill>
                            <a:sysClr val="windowText" lastClr="000000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𝑩𝒕𝒖</m:t>
                      </m:r>
                    </m:num>
                    <m:den>
                      <m:r>
                        <a:rPr lang="en-US" sz="1100" b="1" i="1">
                          <a:solidFill>
                            <a:sysClr val="windowText" lastClr="000000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𝒅𝒂𝒚</m:t>
                      </m:r>
                    </m:den>
                  </m:f>
                </m:oMath>
              </a14:m>
              <a:r>
                <a:rPr lang="en-US" sz="1100" b="1" baseline="0"/>
                <a:t> </a:t>
              </a:r>
              <a:endParaRPr lang="en-US" sz="1100" b="1"/>
            </a:p>
          </xdr:txBody>
        </xdr:sp>
      </mc:Choice>
      <mc:Fallback>
        <xdr:sp macro="" textlink="">
          <xdr:nvSpPr>
            <xdr:cNvPr id="19" name="Right Arrow 18"/>
            <xdr:cNvSpPr/>
          </xdr:nvSpPr>
          <xdr:spPr>
            <a:xfrm>
              <a:off x="1095376" y="2686050"/>
              <a:ext cx="2571750" cy="619125"/>
            </a:xfrm>
            <a:prstGeom prst="rightArrow">
              <a:avLst/>
            </a:prstGeom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 b="1"/>
                <a:t>Heat of Reaction</a:t>
              </a:r>
              <a:r>
                <a:rPr lang="en-US" sz="1100" b="1" baseline="0"/>
                <a:t> </a:t>
              </a:r>
              <a:r>
                <a:rPr lang="el-GR" sz="1100" b="1" baseline="0"/>
                <a:t>Δ</a:t>
              </a:r>
              <a:r>
                <a:rPr lang="en-US" sz="1100" b="1" baseline="0"/>
                <a:t>H = -3.74E09 </a:t>
              </a:r>
              <a:r>
                <a:rPr lang="en-US" sz="1100" b="1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𝑩𝒕𝒖</a:t>
              </a:r>
              <a:r>
                <a:rPr lang="en-US" sz="1100" b="1" i="0">
                  <a:solidFill>
                    <a:schemeClr val="lt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en-US" sz="1100" b="1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𝒅𝒂𝒚</a:t>
              </a:r>
              <a:r>
                <a:rPr lang="en-US" sz="1100" b="1" baseline="0"/>
                <a:t> </a:t>
              </a:r>
              <a:endParaRPr lang="en-US" sz="1100" b="1"/>
            </a:p>
          </xdr:txBody>
        </xdr:sp>
      </mc:Fallback>
    </mc:AlternateContent>
    <xdr:clientData/>
  </xdr:twoCellAnchor>
  <xdr:oneCellAnchor>
    <xdr:from>
      <xdr:col>4</xdr:col>
      <xdr:colOff>104775</xdr:colOff>
      <xdr:row>24</xdr:row>
      <xdr:rowOff>142875</xdr:rowOff>
    </xdr:from>
    <xdr:ext cx="184731" cy="264560"/>
    <xdr:sp macro="" textlink="">
      <xdr:nvSpPr>
        <xdr:cNvPr id="20" name="TextBox 19"/>
        <xdr:cNvSpPr txBox="1"/>
      </xdr:nvSpPr>
      <xdr:spPr>
        <a:xfrm>
          <a:off x="4057650" y="602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66676</xdr:colOff>
      <xdr:row>17</xdr:row>
      <xdr:rowOff>171450</xdr:rowOff>
    </xdr:from>
    <xdr:ext cx="2019299" cy="819150"/>
    <xdr:sp macro="" textlink="">
      <xdr:nvSpPr>
        <xdr:cNvPr id="22" name="TextBox 21"/>
        <xdr:cNvSpPr txBox="1"/>
      </xdr:nvSpPr>
      <xdr:spPr>
        <a:xfrm>
          <a:off x="3057526" y="3981450"/>
          <a:ext cx="2019299" cy="819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Other Assumptions:</a:t>
          </a:r>
          <a:r>
            <a:rPr lang="en-US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u="sng">
            <a:effectLst/>
          </a:endParaRPr>
        </a:p>
        <a:p>
          <a:r>
            <a:rPr lang="en-US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Water is entering cooler at 85 F</a:t>
          </a:r>
          <a:endParaRPr lang="en-US">
            <a:effectLst/>
          </a:endParaRPr>
        </a:p>
        <a:p>
          <a:r>
            <a:rPr lang="en-US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Steam is created through the cooler  is at 350 F</a:t>
          </a:r>
          <a:endParaRPr lang="en-US">
            <a:effectLst/>
          </a:endParaRPr>
        </a:p>
        <a:p>
          <a:endParaRPr lang="en-US" sz="1100"/>
        </a:p>
      </xdr:txBody>
    </xdr:sp>
    <xdr:clientData/>
  </xdr:oneCellAnchor>
  <xdr:oneCellAnchor>
    <xdr:from>
      <xdr:col>7</xdr:col>
      <xdr:colOff>200025</xdr:colOff>
      <xdr:row>15</xdr:row>
      <xdr:rowOff>76200</xdr:rowOff>
    </xdr:from>
    <xdr:ext cx="1952625" cy="5327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TextBox 22"/>
            <xdr:cNvSpPr txBox="1"/>
          </xdr:nvSpPr>
          <xdr:spPr>
            <a:xfrm>
              <a:off x="6581775" y="3505200"/>
              <a:ext cx="195262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1" i="0" u="none" strike="noStrik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amount of steam produced     = 3.14E05</a:t>
              </a:r>
              <a:r>
                <a:rPr lang="en-US" sz="1100" b="1" i="0" u="none" strike="noStrik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𝒍𝒃</m:t>
                      </m:r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𝒎𝒐𝒍</m:t>
                      </m:r>
                    </m:num>
                    <m:den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𝒅𝒂𝒚</m:t>
                      </m:r>
                    </m:den>
                  </m:f>
                </m:oMath>
              </a14:m>
              <a:r>
                <a:rPr lang="en-US" b="1"/>
                <a:t> </a:t>
              </a:r>
              <a:endParaRPr lang="en-US" sz="1100" b="1"/>
            </a:p>
          </xdr:txBody>
        </xdr:sp>
      </mc:Choice>
      <mc:Fallback>
        <xdr:sp macro="" textlink="">
          <xdr:nvSpPr>
            <xdr:cNvPr id="23" name="TextBox 22"/>
            <xdr:cNvSpPr txBox="1"/>
          </xdr:nvSpPr>
          <xdr:spPr>
            <a:xfrm>
              <a:off x="6581775" y="3505200"/>
              <a:ext cx="195262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1" i="0" u="none" strike="noStrik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amount of steam produced     = 3.14E05</a:t>
              </a:r>
              <a:r>
                <a:rPr lang="en-US" sz="1100" b="1" i="0" u="none" strike="noStrik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100" b="1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(𝒍𝒃−𝒎𝒐𝒍)/𝒅𝒂𝒚</a:t>
              </a:r>
              <a:r>
                <a:rPr lang="en-US" b="1"/>
                <a:t> </a:t>
              </a:r>
              <a:endParaRPr lang="en-US" sz="1100" b="1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513873</xdr:colOff>
      <xdr:row>7</xdr:row>
      <xdr:rowOff>114300</xdr:rowOff>
    </xdr:from>
    <xdr:to>
      <xdr:col>3</xdr:col>
      <xdr:colOff>162401</xdr:colOff>
      <xdr:row>11</xdr:row>
      <xdr:rowOff>123825</xdr:rowOff>
    </xdr:to>
    <xdr:sp macro="" textlink="">
      <xdr:nvSpPr>
        <xdr:cNvPr id="2" name="TextBox 1"/>
        <xdr:cNvSpPr txBox="1"/>
      </xdr:nvSpPr>
      <xdr:spPr>
        <a:xfrm>
          <a:off x="513873" y="1447800"/>
          <a:ext cx="1477328" cy="771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A</a:t>
          </a:r>
          <a:r>
            <a:rPr lang="en-US" sz="1100" baseline="0"/>
            <a:t>=750 F</a:t>
          </a:r>
        </a:p>
        <a:p>
          <a:r>
            <a:rPr lang="en-US" sz="1100" baseline="0"/>
            <a:t>P= 20 bar</a:t>
          </a:r>
          <a:endParaRPr lang="en-US" sz="1100"/>
        </a:p>
      </xdr:txBody>
    </xdr:sp>
    <xdr:clientData/>
  </xdr:twoCellAnchor>
  <xdr:twoCellAnchor>
    <xdr:from>
      <xdr:col>4</xdr:col>
      <xdr:colOff>38100</xdr:colOff>
      <xdr:row>4</xdr:row>
      <xdr:rowOff>47625</xdr:rowOff>
    </xdr:from>
    <xdr:to>
      <xdr:col>5</xdr:col>
      <xdr:colOff>485775</xdr:colOff>
      <xdr:row>9</xdr:row>
      <xdr:rowOff>104775</xdr:rowOff>
    </xdr:to>
    <xdr:sp macro="" textlink="">
      <xdr:nvSpPr>
        <xdr:cNvPr id="3" name="Rectangle 2"/>
        <xdr:cNvSpPr/>
      </xdr:nvSpPr>
      <xdr:spPr>
        <a:xfrm>
          <a:off x="2476500" y="809625"/>
          <a:ext cx="1057275" cy="10096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HTS</a:t>
          </a:r>
        </a:p>
      </xdr:txBody>
    </xdr:sp>
    <xdr:clientData/>
  </xdr:twoCellAnchor>
  <xdr:twoCellAnchor>
    <xdr:from>
      <xdr:col>7</xdr:col>
      <xdr:colOff>400050</xdr:colOff>
      <xdr:row>5</xdr:row>
      <xdr:rowOff>171450</xdr:rowOff>
    </xdr:from>
    <xdr:to>
      <xdr:col>9</xdr:col>
      <xdr:colOff>352425</xdr:colOff>
      <xdr:row>8</xdr:row>
      <xdr:rowOff>0</xdr:rowOff>
    </xdr:to>
    <xdr:sp macro="" textlink="">
      <xdr:nvSpPr>
        <xdr:cNvPr id="4" name="Oval 3"/>
        <xdr:cNvSpPr/>
      </xdr:nvSpPr>
      <xdr:spPr>
        <a:xfrm>
          <a:off x="4667250" y="1123950"/>
          <a:ext cx="1171575" cy="4000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Cooler</a:t>
          </a:r>
        </a:p>
      </xdr:txBody>
    </xdr:sp>
    <xdr:clientData/>
  </xdr:twoCellAnchor>
  <xdr:twoCellAnchor>
    <xdr:from>
      <xdr:col>2</xdr:col>
      <xdr:colOff>219075</xdr:colOff>
      <xdr:row>6</xdr:row>
      <xdr:rowOff>171450</xdr:rowOff>
    </xdr:from>
    <xdr:to>
      <xdr:col>4</xdr:col>
      <xdr:colOff>38100</xdr:colOff>
      <xdr:row>6</xdr:row>
      <xdr:rowOff>171450</xdr:rowOff>
    </xdr:to>
    <xdr:cxnSp macro="">
      <xdr:nvCxnSpPr>
        <xdr:cNvPr id="8" name="Straight Arrow Connector 7"/>
        <xdr:cNvCxnSpPr>
          <a:endCxn id="3" idx="1"/>
        </xdr:cNvCxnSpPr>
      </xdr:nvCxnSpPr>
      <xdr:spPr>
        <a:xfrm>
          <a:off x="1438275" y="1314450"/>
          <a:ext cx="103822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485775</xdr:colOff>
      <xdr:row>6</xdr:row>
      <xdr:rowOff>171450</xdr:rowOff>
    </xdr:from>
    <xdr:to>
      <xdr:col>7</xdr:col>
      <xdr:colOff>400050</xdr:colOff>
      <xdr:row>6</xdr:row>
      <xdr:rowOff>180975</xdr:rowOff>
    </xdr:to>
    <xdr:cxnSp macro="">
      <xdr:nvCxnSpPr>
        <xdr:cNvPr id="10" name="Straight Arrow Connector 9"/>
        <xdr:cNvCxnSpPr>
          <a:stCxn id="3" idx="3"/>
        </xdr:cNvCxnSpPr>
      </xdr:nvCxnSpPr>
      <xdr:spPr>
        <a:xfrm>
          <a:off x="3533775" y="1314450"/>
          <a:ext cx="11334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352425</xdr:colOff>
      <xdr:row>6</xdr:row>
      <xdr:rowOff>180975</xdr:rowOff>
    </xdr:from>
    <xdr:to>
      <xdr:col>11</xdr:col>
      <xdr:colOff>495300</xdr:colOff>
      <xdr:row>7</xdr:row>
      <xdr:rowOff>0</xdr:rowOff>
    </xdr:to>
    <xdr:cxnSp macro="">
      <xdr:nvCxnSpPr>
        <xdr:cNvPr id="12" name="Straight Arrow Connector 11"/>
        <xdr:cNvCxnSpPr>
          <a:stCxn id="4" idx="6"/>
        </xdr:cNvCxnSpPr>
      </xdr:nvCxnSpPr>
      <xdr:spPr>
        <a:xfrm>
          <a:off x="5838825" y="1323975"/>
          <a:ext cx="13620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</xdr:row>
      <xdr:rowOff>0</xdr:rowOff>
    </xdr:from>
    <xdr:to>
      <xdr:col>7</xdr:col>
      <xdr:colOff>514350</xdr:colOff>
      <xdr:row>12</xdr:row>
      <xdr:rowOff>57150</xdr:rowOff>
    </xdr:to>
    <xdr:sp macro="" textlink="">
      <xdr:nvSpPr>
        <xdr:cNvPr id="18" name="TextBox 17"/>
        <xdr:cNvSpPr txBox="1"/>
      </xdr:nvSpPr>
      <xdr:spPr>
        <a:xfrm>
          <a:off x="3657600" y="1524000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B</a:t>
          </a:r>
          <a:r>
            <a:rPr lang="en-US" sz="1100" baseline="0"/>
            <a:t> =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1482.33</a:t>
          </a:r>
          <a:r>
            <a:rPr lang="en-US"/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9</xdr:col>
      <xdr:colOff>466725</xdr:colOff>
      <xdr:row>8</xdr:row>
      <xdr:rowOff>9525</xdr:rowOff>
    </xdr:from>
    <xdr:to>
      <xdr:col>11</xdr:col>
      <xdr:colOff>371475</xdr:colOff>
      <xdr:row>12</xdr:row>
      <xdr:rowOff>66675</xdr:rowOff>
    </xdr:to>
    <xdr:sp macro="" textlink="">
      <xdr:nvSpPr>
        <xdr:cNvPr id="19" name="TextBox 18"/>
        <xdr:cNvSpPr txBox="1"/>
      </xdr:nvSpPr>
      <xdr:spPr>
        <a:xfrm>
          <a:off x="5953125" y="1533525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C</a:t>
          </a:r>
          <a:r>
            <a:rPr lang="en-US" sz="1100"/>
            <a:t>= 390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14</xdr:col>
      <xdr:colOff>0</xdr:colOff>
      <xdr:row>7</xdr:row>
      <xdr:rowOff>190499</xdr:rowOff>
    </xdr:from>
    <xdr:to>
      <xdr:col>15</xdr:col>
      <xdr:colOff>180975</xdr:colOff>
      <xdr:row>13</xdr:row>
      <xdr:rowOff>47624</xdr:rowOff>
    </xdr:to>
    <xdr:sp macro="" textlink="">
      <xdr:nvSpPr>
        <xdr:cNvPr id="20" name="TextBox 19"/>
        <xdr:cNvSpPr txBox="1"/>
      </xdr:nvSpPr>
      <xdr:spPr>
        <a:xfrm>
          <a:off x="8534400" y="1523999"/>
          <a:ext cx="790575" cy="1000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T=  544.32</a:t>
          </a:r>
          <a:r>
            <a:rPr lang="en-US" sz="1100" baseline="0"/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18</xdr:col>
      <xdr:colOff>0</xdr:colOff>
      <xdr:row>8</xdr:row>
      <xdr:rowOff>0</xdr:rowOff>
    </xdr:from>
    <xdr:to>
      <xdr:col>19</xdr:col>
      <xdr:colOff>514350</xdr:colOff>
      <xdr:row>12</xdr:row>
      <xdr:rowOff>57150</xdr:rowOff>
    </xdr:to>
    <xdr:sp macro="" textlink="">
      <xdr:nvSpPr>
        <xdr:cNvPr id="21" name="TextBox 20"/>
        <xdr:cNvSpPr txBox="1"/>
      </xdr:nvSpPr>
      <xdr:spPr>
        <a:xfrm>
          <a:off x="10972800" y="1524000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T= 390 F</a:t>
          </a:r>
        </a:p>
        <a:p>
          <a:r>
            <a:rPr lang="en-US" sz="1100"/>
            <a:t>P = 20 bar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I10" totalsRowCount="1" headerRowDxfId="10" totalsRowDxfId="9">
  <autoFilter ref="A1:I9"/>
  <sortState ref="A2:I9">
    <sortCondition descending="1" ref="B2:B9"/>
  </sortState>
  <tableColumns count="9">
    <tableColumn id="1" name="Inlet Fraction  Clean Syngas Component Flow for HTS" totalsRowLabel="Total" totalsRowDxfId="8"/>
    <tableColumn id="2" name="Lbs/day for HTS" totalsRowFunction="sum" dataDxfId="18" totalsRowDxfId="7"/>
    <tableColumn id="3" name="(lbmoles/day) for HTS" totalsRowFunction="sum" dataDxfId="17" totalsRowDxfId="6"/>
    <tableColumn id="4" name="Internal Energy at 750 F" totalsRowFunction="sum" dataDxfId="16" totalsRowDxfId="5"/>
    <tableColumn id="5" name="Intenal energy at 390 F" totalsRowFunction="sum" dataDxfId="15" totalsRowDxfId="4"/>
    <tableColumn id="6" name="Cv (btu/lbmole* R)" totalsRowFunction="sum" dataDxfId="14" totalsRowDxfId="3"/>
    <tableColumn id="7" name="Cp (btu/lbm-mole R)" totalsRowFunction="sum" dataDxfId="13" totalsRowDxfId="2"/>
    <tableColumn id="8" name="outlet syngas Comp  (lbmole/day) form (HTS)" totalsRowFunction="sum" dataDxfId="12" totalsRowDxfId="1"/>
    <tableColumn id="9" name="Average Cp (btu/lbmole* R) for HTS" totalsRowFunction="sum" dataDxfId="11" totalsRowDxfId="0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view="pageLayout" zoomScaleNormal="100" workbookViewId="0">
      <selection activeCell="J3" sqref="J3"/>
    </sheetView>
  </sheetViews>
  <sheetFormatPr defaultRowHeight="15" x14ac:dyDescent="0.25"/>
  <cols>
    <col min="1" max="1" width="17" customWidth="1"/>
    <col min="2" max="2" width="12.7109375" customWidth="1"/>
    <col min="3" max="3" width="12" customWidth="1"/>
    <col min="4" max="4" width="13.42578125" customWidth="1"/>
    <col min="5" max="5" width="14" customWidth="1"/>
    <col min="6" max="6" width="8.7109375" customWidth="1"/>
    <col min="7" max="7" width="11.140625" customWidth="1"/>
    <col min="8" max="8" width="15" customWidth="1"/>
    <col min="9" max="9" width="15.5703125" customWidth="1"/>
  </cols>
  <sheetData>
    <row r="1" spans="1:9" ht="59.25" customHeight="1" x14ac:dyDescent="0.25">
      <c r="A1" s="35" t="s">
        <v>35</v>
      </c>
      <c r="B1" s="35" t="s">
        <v>36</v>
      </c>
      <c r="C1" s="35" t="s">
        <v>37</v>
      </c>
      <c r="D1" s="35" t="s">
        <v>11</v>
      </c>
      <c r="E1" s="35" t="s">
        <v>16</v>
      </c>
      <c r="F1" s="35" t="s">
        <v>19</v>
      </c>
      <c r="G1" s="35" t="s">
        <v>18</v>
      </c>
      <c r="H1" s="35" t="s">
        <v>45</v>
      </c>
      <c r="I1" s="35" t="s">
        <v>38</v>
      </c>
    </row>
    <row r="2" spans="1:9" x14ac:dyDescent="0.25">
      <c r="A2" s="23" t="s">
        <v>0</v>
      </c>
      <c r="B2" s="33">
        <v>7305110.7955268547</v>
      </c>
      <c r="C2" s="33">
        <f>B2/(12.01+16)</f>
        <v>260803.66995811692</v>
      </c>
      <c r="D2" s="33">
        <v>6126.4</v>
      </c>
      <c r="E2" s="34">
        <v>4233.55</v>
      </c>
      <c r="F2" s="33">
        <f>(D2-E2)/(1210-850)</f>
        <v>5.2579166666666648</v>
      </c>
      <c r="G2" s="33">
        <f>F2+1.986</f>
        <v>7.2439166666666646</v>
      </c>
      <c r="H2" s="33">
        <v>0</v>
      </c>
      <c r="I2" s="33">
        <f>(Table1[[#This Row],[Cp (btu/lbm-mole R)]]*Table1[[#This Row],[outlet syngas Comp  (lbmole/day) form (HTS)]])/Table1[[#Totals],[outlet syngas Comp  (lbmole/day) form (HTS)]]</f>
        <v>0</v>
      </c>
    </row>
    <row r="3" spans="1:9" x14ac:dyDescent="0.25">
      <c r="A3" s="23" t="s">
        <v>4</v>
      </c>
      <c r="B3" s="33">
        <v>4262249.6100000003</v>
      </c>
      <c r="C3" s="33">
        <f>Table1[[#This Row],[Lbs/day for HTS]]/18.02</f>
        <v>236528.83518312988</v>
      </c>
      <c r="D3" s="33">
        <v>7506.3</v>
      </c>
      <c r="E3" s="33">
        <v>5124.3</v>
      </c>
      <c r="F3" s="33">
        <f>(D3-E3)/(1210-850)</f>
        <v>6.6166666666666663</v>
      </c>
      <c r="G3" s="33">
        <f>F3+1.986</f>
        <v>8.602666666666666</v>
      </c>
      <c r="H3" s="33">
        <v>0</v>
      </c>
      <c r="I3" s="33">
        <v>0</v>
      </c>
    </row>
    <row r="4" spans="1:9" x14ac:dyDescent="0.25">
      <c r="A4" s="23" t="s">
        <v>3</v>
      </c>
      <c r="B4" s="33">
        <v>576279.75108448067</v>
      </c>
      <c r="C4" s="33">
        <f>B4/28</f>
        <v>20581.419681588595</v>
      </c>
      <c r="D4" s="33">
        <v>6090.2</v>
      </c>
      <c r="E4" s="34">
        <v>4227.6000000000004</v>
      </c>
      <c r="F4" s="33">
        <f>(D4-E4)/(1210-850)</f>
        <v>5.1738888888888876</v>
      </c>
      <c r="G4" s="33">
        <f>F4+1.986</f>
        <v>7.1598888888888874</v>
      </c>
      <c r="H4" s="33">
        <v>14424.566782316891</v>
      </c>
      <c r="I4" s="33">
        <f>(Table1[[#This Row],[Cp (btu/lbm-mole R)]]*Table1[[#This Row],[outlet syngas Comp  (lbmole/day) form (HTS)]])/Table1[[#Totals],[outlet syngas Comp  (lbmole/day) form (HTS)]]</f>
        <v>0.16005298545363714</v>
      </c>
    </row>
    <row r="5" spans="1:9" x14ac:dyDescent="0.25">
      <c r="A5" s="42" t="s">
        <v>47</v>
      </c>
      <c r="B5" s="43">
        <v>219424.09245963744</v>
      </c>
      <c r="C5" s="43">
        <f>B5/2.02</f>
        <v>108625.78834635517</v>
      </c>
      <c r="D5" s="45" t="s">
        <v>44</v>
      </c>
      <c r="E5" s="45" t="s">
        <v>44</v>
      </c>
      <c r="F5" s="43">
        <f>(D3-E3)/(1210-850)</f>
        <v>6.6166666666666663</v>
      </c>
      <c r="G5" s="43">
        <v>7.0049999999999999</v>
      </c>
      <c r="H5" s="43">
        <v>368887.19324812351</v>
      </c>
      <c r="I5" s="43">
        <f>(Table1[[#This Row],[Cp (btu/lbm-mole R)]]*Table1[[#This Row],[outlet syngas Comp  (lbmole/day) form (HTS)]])/Table1[[#Totals],[outlet syngas Comp  (lbmole/day) form (HTS)]]</f>
        <v>4.0045750346550397</v>
      </c>
    </row>
    <row r="6" spans="1:9" x14ac:dyDescent="0.25">
      <c r="A6" s="23" t="s">
        <v>7</v>
      </c>
      <c r="B6" s="33">
        <v>39767.887439366561</v>
      </c>
      <c r="C6" s="33">
        <f>B6/(12.01+32)</f>
        <v>903.61025765431862</v>
      </c>
      <c r="D6" s="33">
        <v>8669.4500000000007</v>
      </c>
      <c r="E6" s="34">
        <v>5382.25</v>
      </c>
      <c r="F6" s="33">
        <f>(D6-E6)/(1210-850)</f>
        <v>9.1311111111111138</v>
      </c>
      <c r="G6" s="33">
        <f>F6+1.986</f>
        <v>11.117111111111114</v>
      </c>
      <c r="H6" s="33">
        <v>261701.35420645616</v>
      </c>
      <c r="I6" s="33">
        <f>(Table1[[#This Row],[Cp (btu/lbm-mole R)]]*Table1[[#This Row],[outlet syngas Comp  (lbmole/day) form (HTS)]])/Table1[[#Totals],[outlet syngas Comp  (lbmole/day) form (HTS)]]</f>
        <v>4.5087134445440418</v>
      </c>
    </row>
    <row r="7" spans="1:9" x14ac:dyDescent="0.25">
      <c r="A7" s="42" t="s">
        <v>48</v>
      </c>
      <c r="B7" s="43">
        <v>6012.4094844372939</v>
      </c>
      <c r="C7" s="43">
        <f>B7/(12.01+4.04)</f>
        <v>374.60495230138901</v>
      </c>
      <c r="D7" s="44" t="s">
        <v>41</v>
      </c>
      <c r="E7" s="44" t="s">
        <v>41</v>
      </c>
      <c r="F7" s="44" t="s">
        <v>41</v>
      </c>
      <c r="G7" s="43">
        <v>12.065</v>
      </c>
      <c r="H7" s="43">
        <v>262.54331504117823</v>
      </c>
      <c r="I7" s="43">
        <f>(Table1[[#This Row],[Cp (btu/lbm-mole R)]]*Table1[[#This Row],[outlet syngas Comp  (lbmole/day) form (HTS)]])/Table1[[#Totals],[outlet syngas Comp  (lbmole/day) form (HTS)]]</f>
        <v>4.9088867043103335E-3</v>
      </c>
    </row>
    <row r="8" spans="1:9" x14ac:dyDescent="0.25">
      <c r="A8" s="23" t="s">
        <v>5</v>
      </c>
      <c r="B8" s="33">
        <v>0</v>
      </c>
      <c r="C8" s="33">
        <v>0</v>
      </c>
      <c r="D8" s="33">
        <v>0</v>
      </c>
      <c r="E8" s="33">
        <v>0</v>
      </c>
      <c r="F8" s="33">
        <f>(D8-E8)/(1210-850)</f>
        <v>0</v>
      </c>
      <c r="G8" s="33">
        <v>0</v>
      </c>
      <c r="H8" s="33">
        <v>0</v>
      </c>
      <c r="I8" s="33">
        <v>0</v>
      </c>
    </row>
    <row r="9" spans="1:9" x14ac:dyDescent="0.25">
      <c r="A9" s="23" t="s">
        <v>6</v>
      </c>
      <c r="B9" s="33">
        <v>0</v>
      </c>
      <c r="C9" s="33">
        <v>0</v>
      </c>
      <c r="D9" s="33">
        <v>0</v>
      </c>
      <c r="E9" s="33">
        <v>0</v>
      </c>
      <c r="F9" s="33">
        <f>(D9-E9)/(1210-850)</f>
        <v>0</v>
      </c>
      <c r="G9" s="33">
        <v>0</v>
      </c>
      <c r="H9" s="33">
        <v>0</v>
      </c>
      <c r="I9" s="33">
        <v>0</v>
      </c>
    </row>
    <row r="10" spans="1:9" x14ac:dyDescent="0.25">
      <c r="A10" s="36" t="s">
        <v>43</v>
      </c>
      <c r="B10" s="37">
        <f>SUBTOTAL(109,Table1[Lbs/day for HTS])</f>
        <v>12408844.545994775</v>
      </c>
      <c r="C10" s="37">
        <f>SUBTOTAL(109,Table1[(lbmoles/day) for HTS])</f>
        <v>627817.92837914627</v>
      </c>
      <c r="D10" s="37">
        <f>SUBTOTAL(109,Table1[Internal Energy at 750 F])</f>
        <v>28392.350000000002</v>
      </c>
      <c r="E10" s="37">
        <f>SUBTOTAL(109,Table1[Intenal energy at 390 F])</f>
        <v>18967.7</v>
      </c>
      <c r="F10" s="37">
        <f>SUBTOTAL(109,Table1[Cv (btu/lbmole* R)])</f>
        <v>32.796250000000001</v>
      </c>
      <c r="G10" s="37">
        <f>SUBTOTAL(109,Table1[Cp (btu/lbm-mole R)])</f>
        <v>53.193583333333329</v>
      </c>
      <c r="H10" s="37">
        <f>SUBTOTAL(109,Table1[outlet syngas Comp  (lbmole/day) form (HTS)])</f>
        <v>645275.65755193785</v>
      </c>
      <c r="I10" s="37">
        <f>SUBTOTAL(109,Table1[Average Cp (btu/lbmole* R) for HTS])</f>
        <v>8.678250351357029</v>
      </c>
    </row>
    <row r="11" spans="1:9" s="3" customFormat="1" ht="15.75" thickBot="1" x14ac:dyDescent="0.3">
      <c r="A11" s="39"/>
      <c r="B11" s="40"/>
      <c r="C11" s="40"/>
      <c r="D11" s="40"/>
      <c r="E11" s="40"/>
      <c r="F11" s="40"/>
      <c r="G11" s="40"/>
      <c r="H11" s="40"/>
      <c r="I11" s="40"/>
    </row>
    <row r="12" spans="1:9" x14ac:dyDescent="0.25">
      <c r="A12" s="24"/>
      <c r="B12" s="25"/>
      <c r="C12" s="25"/>
      <c r="D12" s="25"/>
      <c r="E12" s="25"/>
      <c r="F12" s="25"/>
      <c r="G12" s="25"/>
      <c r="H12" s="25"/>
      <c r="I12" s="26"/>
    </row>
    <row r="13" spans="1:9" x14ac:dyDescent="0.25">
      <c r="A13" s="27"/>
      <c r="B13" s="28"/>
      <c r="C13" s="28"/>
      <c r="D13" s="28"/>
      <c r="E13" s="28"/>
      <c r="F13" s="28"/>
      <c r="G13" s="28"/>
      <c r="H13" s="28"/>
      <c r="I13" s="29"/>
    </row>
    <row r="14" spans="1:9" x14ac:dyDescent="0.25">
      <c r="A14" s="27"/>
      <c r="B14" s="28"/>
      <c r="C14" s="28"/>
      <c r="D14" s="28"/>
      <c r="E14" s="28"/>
      <c r="F14" s="28"/>
      <c r="G14" s="28"/>
      <c r="H14" s="28"/>
      <c r="I14" s="29"/>
    </row>
    <row r="15" spans="1:9" x14ac:dyDescent="0.25">
      <c r="A15" s="27"/>
      <c r="B15" s="28"/>
      <c r="C15" s="28"/>
      <c r="D15" s="28"/>
      <c r="E15" s="28"/>
      <c r="F15" s="28"/>
      <c r="G15" s="28"/>
      <c r="H15" s="28"/>
      <c r="I15" s="29"/>
    </row>
    <row r="16" spans="1:9" x14ac:dyDescent="0.25">
      <c r="A16" s="27"/>
      <c r="B16" s="28"/>
      <c r="C16" s="28"/>
      <c r="D16" s="28"/>
      <c r="E16" s="28"/>
      <c r="F16" s="28"/>
      <c r="G16" s="28"/>
      <c r="H16" s="28"/>
      <c r="I16" s="29"/>
    </row>
    <row r="17" spans="1:9" x14ac:dyDescent="0.25">
      <c r="A17" s="27"/>
      <c r="B17" s="28"/>
      <c r="C17" s="28"/>
      <c r="D17" s="28"/>
      <c r="E17" s="28"/>
      <c r="F17" s="28"/>
      <c r="G17" s="28"/>
      <c r="H17" s="28"/>
      <c r="I17" s="29"/>
    </row>
    <row r="18" spans="1:9" x14ac:dyDescent="0.25">
      <c r="A18" s="27"/>
      <c r="B18" s="28"/>
      <c r="C18" s="28"/>
      <c r="D18" s="28"/>
      <c r="E18" s="28"/>
      <c r="F18" s="28"/>
      <c r="G18" s="28"/>
      <c r="H18" s="28"/>
      <c r="I18" s="29"/>
    </row>
    <row r="19" spans="1:9" x14ac:dyDescent="0.25">
      <c r="A19" s="27"/>
      <c r="B19" s="28"/>
      <c r="C19" s="28"/>
      <c r="D19" s="28"/>
      <c r="E19" s="28"/>
      <c r="F19" s="28"/>
      <c r="G19" s="28"/>
      <c r="H19" s="28"/>
      <c r="I19" s="29"/>
    </row>
    <row r="20" spans="1:9" x14ac:dyDescent="0.25">
      <c r="A20" s="27"/>
      <c r="B20" s="28"/>
      <c r="C20" s="28"/>
      <c r="D20" s="28"/>
      <c r="E20" s="28"/>
      <c r="F20" s="28"/>
      <c r="G20" s="28"/>
      <c r="H20" s="28"/>
      <c r="I20" s="29"/>
    </row>
    <row r="21" spans="1:9" x14ac:dyDescent="0.25">
      <c r="A21" s="27"/>
      <c r="B21" s="28"/>
      <c r="C21" s="28"/>
      <c r="D21" s="28"/>
      <c r="E21" s="28"/>
      <c r="F21" s="28"/>
      <c r="G21" s="28"/>
      <c r="H21" s="28"/>
      <c r="I21" s="29"/>
    </row>
    <row r="22" spans="1:9" ht="84.75" customHeight="1" thickBot="1" x14ac:dyDescent="0.3">
      <c r="A22" s="30"/>
      <c r="B22" s="31"/>
      <c r="C22" s="31"/>
      <c r="D22" s="31"/>
      <c r="E22" s="31"/>
      <c r="F22" s="31"/>
      <c r="G22" s="31"/>
      <c r="H22" s="31"/>
      <c r="I22" s="32"/>
    </row>
    <row r="23" spans="1:9" x14ac:dyDescent="0.25">
      <c r="A23" s="23"/>
      <c r="B23" s="23"/>
      <c r="C23" s="23"/>
      <c r="D23" s="23"/>
      <c r="E23" s="23"/>
      <c r="F23" s="23"/>
    </row>
    <row r="24" spans="1:9" x14ac:dyDescent="0.25">
      <c r="A24" s="41"/>
      <c r="B24" s="41"/>
      <c r="C24" s="41"/>
      <c r="D24" s="41"/>
      <c r="E24" s="41"/>
      <c r="F24" s="23"/>
    </row>
    <row r="25" spans="1:9" x14ac:dyDescent="0.25">
      <c r="A25" s="41"/>
      <c r="B25" s="41"/>
      <c r="C25" s="41"/>
      <c r="D25" s="41"/>
      <c r="E25" s="41"/>
      <c r="F25" s="23"/>
    </row>
    <row r="26" spans="1:9" x14ac:dyDescent="0.25">
      <c r="A26" s="41"/>
      <c r="B26" s="41"/>
      <c r="C26" s="41"/>
      <c r="D26" s="41"/>
      <c r="E26" s="41"/>
      <c r="F26" s="23"/>
    </row>
    <row r="27" spans="1:9" x14ac:dyDescent="0.25">
      <c r="A27" s="41"/>
      <c r="B27" s="41"/>
      <c r="C27" s="41"/>
      <c r="D27" s="41"/>
      <c r="E27" s="41"/>
      <c r="F27" s="23"/>
    </row>
    <row r="37" spans="4:9" ht="15" customHeight="1" x14ac:dyDescent="0.25">
      <c r="D37" s="38"/>
      <c r="E37" s="38"/>
      <c r="F37" s="38"/>
    </row>
    <row r="42" spans="4:9" ht="30" x14ac:dyDescent="0.25">
      <c r="I42" s="1" t="s">
        <v>40</v>
      </c>
    </row>
    <row r="43" spans="4:9" x14ac:dyDescent="0.25">
      <c r="E43" t="s">
        <v>46</v>
      </c>
      <c r="I43">
        <v>53.08</v>
      </c>
    </row>
    <row r="44" spans="4:9" x14ac:dyDescent="0.25">
      <c r="E44" t="s">
        <v>33</v>
      </c>
      <c r="I44">
        <v>1192.97</v>
      </c>
    </row>
    <row r="45" spans="4:9" x14ac:dyDescent="0.25">
      <c r="E45" s="3" t="s">
        <v>49</v>
      </c>
      <c r="F45" s="3"/>
      <c r="G45" s="3"/>
      <c r="H45" s="3"/>
      <c r="I45" s="3">
        <f xml:space="preserve"> 5656538.05147457/18.02</f>
        <v>313903.33249026473</v>
      </c>
    </row>
  </sheetData>
  <mergeCells count="2">
    <mergeCell ref="D37:F37"/>
    <mergeCell ref="A12:I22"/>
  </mergeCells>
  <pageMargins left="0.7" right="0.7" top="0.75" bottom="0.75" header="0.3" footer="0.3"/>
  <pageSetup orientation="landscape" horizontalDpi="0" verticalDpi="0" r:id="rId1"/>
  <headerFooter>
    <oddHeader>&amp;C&amp;"Times New Roman,Bold"&amp;24Energy Balance around Water-Gas Shift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27" workbookViewId="0">
      <selection activeCell="G37" sqref="G37:K40"/>
    </sheetView>
  </sheetViews>
  <sheetFormatPr defaultRowHeight="15" x14ac:dyDescent="0.25"/>
  <cols>
    <col min="1" max="1" width="20.140625" customWidth="1"/>
    <col min="2" max="2" width="14.42578125" customWidth="1"/>
    <col min="3" max="3" width="17" customWidth="1"/>
    <col min="4" max="4" width="14.5703125" customWidth="1"/>
    <col min="5" max="6" width="12.28515625" customWidth="1"/>
    <col min="7" max="7" width="10.42578125" customWidth="1"/>
    <col min="8" max="8" width="10" customWidth="1"/>
    <col min="9" max="9" width="10.5703125" customWidth="1"/>
    <col min="10" max="10" width="10.140625" customWidth="1"/>
    <col min="11" max="11" width="20.85546875" customWidth="1"/>
    <col min="12" max="12" width="11.140625" customWidth="1"/>
    <col min="13" max="13" width="10.85546875" customWidth="1"/>
    <col min="14" max="14" width="9.140625" customWidth="1"/>
    <col min="17" max="17" width="11.7109375" bestFit="1" customWidth="1"/>
  </cols>
  <sheetData>
    <row r="1" spans="9:11" ht="15.75" thickBot="1" x14ac:dyDescent="0.3"/>
    <row r="2" spans="9:11" x14ac:dyDescent="0.25">
      <c r="I2" s="24" t="s">
        <v>42</v>
      </c>
      <c r="J2" s="25"/>
      <c r="K2" s="26"/>
    </row>
    <row r="3" spans="9:11" x14ac:dyDescent="0.25">
      <c r="I3" s="27"/>
      <c r="J3" s="28"/>
      <c r="K3" s="29"/>
    </row>
    <row r="4" spans="9:11" ht="15.75" thickBot="1" x14ac:dyDescent="0.3">
      <c r="I4" s="30"/>
      <c r="J4" s="31"/>
      <c r="K4" s="32"/>
    </row>
    <row r="18" spans="1:13" x14ac:dyDescent="0.25">
      <c r="A18" t="s">
        <v>8</v>
      </c>
    </row>
    <row r="19" spans="1:13" s="1" customFormat="1" ht="75" x14ac:dyDescent="0.25">
      <c r="A19" s="11" t="s">
        <v>35</v>
      </c>
      <c r="B19" s="11" t="s">
        <v>36</v>
      </c>
      <c r="C19" s="11" t="s">
        <v>37</v>
      </c>
      <c r="D19" s="11" t="s">
        <v>11</v>
      </c>
      <c r="E19" s="11" t="s">
        <v>16</v>
      </c>
      <c r="F19" s="11" t="s">
        <v>19</v>
      </c>
      <c r="G19" s="11" t="s">
        <v>18</v>
      </c>
      <c r="H19" s="11" t="s">
        <v>20</v>
      </c>
      <c r="I19" s="11" t="s">
        <v>38</v>
      </c>
      <c r="J19" s="18" t="s">
        <v>23</v>
      </c>
      <c r="K19" s="18" t="s">
        <v>39</v>
      </c>
      <c r="L19" s="18" t="s">
        <v>30</v>
      </c>
    </row>
    <row r="20" spans="1:13" ht="15" customHeight="1" x14ac:dyDescent="0.25">
      <c r="A20" s="12" t="s">
        <v>0</v>
      </c>
      <c r="B20" s="12">
        <v>7305110.7955268547</v>
      </c>
      <c r="C20" s="12">
        <f>B20/(12.01+16)</f>
        <v>260803.66995811692</v>
      </c>
      <c r="D20" s="12">
        <v>6126.4</v>
      </c>
      <c r="E20" s="13">
        <v>4233.55</v>
      </c>
      <c r="F20" s="12">
        <f>(D20-E20)/(1210-850)</f>
        <v>5.2579166666666648</v>
      </c>
      <c r="G20" s="12">
        <f>F20+1.986</f>
        <v>7.2439166666666646</v>
      </c>
      <c r="H20" s="12">
        <f>0.19*C20</f>
        <v>49552.697292042219</v>
      </c>
      <c r="I20" s="12">
        <f>G20*H20/H28</f>
        <v>0.5957373295641889</v>
      </c>
      <c r="J20" s="12">
        <v>0</v>
      </c>
      <c r="K20" s="12">
        <v>0</v>
      </c>
      <c r="L20" s="12">
        <f>K20/K28*G20</f>
        <v>0</v>
      </c>
    </row>
    <row r="21" spans="1:13" x14ac:dyDescent="0.25">
      <c r="A21" s="12" t="s">
        <v>7</v>
      </c>
      <c r="B21" s="12">
        <v>39767.887439366561</v>
      </c>
      <c r="C21" s="12">
        <f>B21/(12.01+32)</f>
        <v>903.61025765431862</v>
      </c>
      <c r="D21" s="12">
        <v>8669.4500000000007</v>
      </c>
      <c r="E21" s="13">
        <v>5382.25</v>
      </c>
      <c r="F21" s="12">
        <f t="shared" ref="F21:F27" si="0">(D21-E21)/(1210-850)</f>
        <v>9.1311111111111138</v>
      </c>
      <c r="G21" s="12">
        <f t="shared" ref="G21:G24" si="1">F21+1.986</f>
        <v>11.117111111111114</v>
      </c>
      <c r="H21" s="12">
        <f>C21+(0.81*C20)</f>
        <v>212154.58292372903</v>
      </c>
      <c r="I21" s="12">
        <f>G21*H21/H28</f>
        <v>3.9143389871012397</v>
      </c>
      <c r="J21" s="12">
        <v>11517476.598626135</v>
      </c>
      <c r="K21" s="14">
        <f>J21/(12.01+32)</f>
        <v>261701.35420645616</v>
      </c>
      <c r="L21" s="14">
        <f>K21/K28*G21</f>
        <v>4.5087134445440427</v>
      </c>
      <c r="M21" s="10"/>
    </row>
    <row r="22" spans="1:13" x14ac:dyDescent="0.25">
      <c r="A22" s="12" t="s">
        <v>1</v>
      </c>
      <c r="B22" s="12">
        <v>6012.4094844372939</v>
      </c>
      <c r="C22" s="12">
        <f>B22/(12.01+4.04)</f>
        <v>374.60495230138901</v>
      </c>
      <c r="D22" s="12" t="s">
        <v>41</v>
      </c>
      <c r="E22" s="12" t="s">
        <v>41</v>
      </c>
      <c r="F22" s="12" t="s">
        <v>41</v>
      </c>
      <c r="G22" s="12">
        <v>12.065</v>
      </c>
      <c r="H22" s="12">
        <f>C22</f>
        <v>374.60495230138901</v>
      </c>
      <c r="I22" s="12">
        <f>G22*H22/H28</f>
        <v>7.5009265036172744E-3</v>
      </c>
      <c r="J22" s="12">
        <v>4213.8202064109109</v>
      </c>
      <c r="K22" s="12">
        <f>J22/(12.01+4.04)</f>
        <v>262.54331504117823</v>
      </c>
      <c r="L22" s="12">
        <f>K22/K28*G22</f>
        <v>4.9088867043103343E-3</v>
      </c>
    </row>
    <row r="23" spans="1:13" x14ac:dyDescent="0.25">
      <c r="A23" s="12" t="s">
        <v>2</v>
      </c>
      <c r="B23" s="12">
        <v>219424.09245963744</v>
      </c>
      <c r="C23" s="12">
        <f>B23/2.02</f>
        <v>108625.78834635517</v>
      </c>
      <c r="D23" s="12" t="s">
        <v>41</v>
      </c>
      <c r="E23" s="12" t="s">
        <v>41</v>
      </c>
      <c r="F23" s="12" t="s">
        <v>41</v>
      </c>
      <c r="G23" s="12">
        <v>7.0049999999999999</v>
      </c>
      <c r="H23" s="12">
        <f>C23+(0.81*C20)</f>
        <v>319876.7610124299</v>
      </c>
      <c r="I23" s="12">
        <f>G23*H23/H28</f>
        <v>3.718817781330626</v>
      </c>
      <c r="J23" s="12">
        <v>745152.13036120951</v>
      </c>
      <c r="K23" s="12">
        <f>J23/(2.02)</f>
        <v>368887.19324812351</v>
      </c>
      <c r="L23" s="12">
        <f>K23/K28*G23</f>
        <v>4.0045750346550406</v>
      </c>
    </row>
    <row r="24" spans="1:13" x14ac:dyDescent="0.25">
      <c r="A24" s="12" t="s">
        <v>3</v>
      </c>
      <c r="B24" s="12">
        <v>576279.75108448067</v>
      </c>
      <c r="C24" s="12">
        <f>B24/28</f>
        <v>20581.419681588595</v>
      </c>
      <c r="D24" s="12">
        <v>6090.2</v>
      </c>
      <c r="E24" s="13">
        <v>4227.6000000000004</v>
      </c>
      <c r="F24" s="12">
        <f t="shared" si="0"/>
        <v>5.1738888888888876</v>
      </c>
      <c r="G24" s="12">
        <f t="shared" si="1"/>
        <v>7.1598888888888874</v>
      </c>
      <c r="H24" s="12">
        <f>C24</f>
        <v>20581.419681588595</v>
      </c>
      <c r="I24" s="12">
        <f>G24*H24/H28</f>
        <v>0.24456577486665093</v>
      </c>
      <c r="J24" s="12">
        <v>403887.86990487296</v>
      </c>
      <c r="K24" s="12">
        <f>J24/28</f>
        <v>14424.566782316891</v>
      </c>
      <c r="L24" s="12">
        <f>K24/K28*G24</f>
        <v>0.16005298545363716</v>
      </c>
    </row>
    <row r="25" spans="1:13" x14ac:dyDescent="0.25">
      <c r="A25" s="12" t="s">
        <v>4</v>
      </c>
      <c r="B25" s="12">
        <v>0</v>
      </c>
      <c r="C25" s="12">
        <v>0</v>
      </c>
      <c r="D25" s="12">
        <v>0</v>
      </c>
      <c r="E25" s="12">
        <v>0</v>
      </c>
      <c r="F25" s="12">
        <f t="shared" si="0"/>
        <v>0</v>
      </c>
      <c r="G25" s="12">
        <v>0</v>
      </c>
      <c r="H25" s="12">
        <v>0</v>
      </c>
      <c r="I25" s="12"/>
      <c r="J25" s="12">
        <v>0</v>
      </c>
      <c r="K25" s="12">
        <v>0</v>
      </c>
      <c r="L25" s="12">
        <v>0</v>
      </c>
    </row>
    <row r="26" spans="1:13" x14ac:dyDescent="0.25">
      <c r="A26" s="12" t="s">
        <v>5</v>
      </c>
      <c r="B26" s="12">
        <v>0</v>
      </c>
      <c r="C26" s="12">
        <v>0</v>
      </c>
      <c r="D26" s="12">
        <v>0</v>
      </c>
      <c r="E26" s="12">
        <v>0</v>
      </c>
      <c r="F26" s="12">
        <f t="shared" si="0"/>
        <v>0</v>
      </c>
      <c r="G26" s="12">
        <v>0</v>
      </c>
      <c r="H26" s="12">
        <v>0</v>
      </c>
      <c r="I26" s="12"/>
      <c r="J26" s="12">
        <v>0</v>
      </c>
      <c r="K26" s="12">
        <v>0</v>
      </c>
      <c r="L26" s="12">
        <v>0</v>
      </c>
    </row>
    <row r="27" spans="1:13" x14ac:dyDescent="0.25">
      <c r="A27" s="12" t="s">
        <v>6</v>
      </c>
      <c r="B27" s="12">
        <v>0</v>
      </c>
      <c r="C27" s="12">
        <v>0</v>
      </c>
      <c r="D27" s="12">
        <v>0</v>
      </c>
      <c r="E27" s="12">
        <v>0</v>
      </c>
      <c r="F27" s="12">
        <f t="shared" si="0"/>
        <v>0</v>
      </c>
      <c r="G27" s="12">
        <v>0</v>
      </c>
      <c r="H27" s="12">
        <v>0</v>
      </c>
      <c r="I27" s="12"/>
      <c r="J27" s="12">
        <v>0</v>
      </c>
      <c r="K27" s="12">
        <v>0</v>
      </c>
      <c r="L27" s="12">
        <v>0</v>
      </c>
    </row>
    <row r="28" spans="1:13" x14ac:dyDescent="0.25">
      <c r="A28" s="12" t="s">
        <v>10</v>
      </c>
      <c r="B28" s="12">
        <v>8146594.9359947769</v>
      </c>
      <c r="C28" s="12">
        <f>SUM(C20:C26)</f>
        <v>391289.09319601639</v>
      </c>
      <c r="D28" s="12"/>
      <c r="E28" s="12"/>
      <c r="F28" s="12"/>
      <c r="G28" s="12"/>
      <c r="H28" s="12">
        <f>SUM(H20:H27)</f>
        <v>602540.06586209126</v>
      </c>
      <c r="I28" s="12">
        <f>SUM(I20:I24)</f>
        <v>8.4809607993663221</v>
      </c>
      <c r="J28" s="12">
        <v>12670730.419098627</v>
      </c>
      <c r="K28" s="12">
        <f>SUM(K20:K24)</f>
        <v>645275.65755193774</v>
      </c>
      <c r="L28" s="12">
        <f>SUM(L20:L25)</f>
        <v>8.6782503513570308</v>
      </c>
    </row>
    <row r="31" spans="1:13" ht="15.75" x14ac:dyDescent="0.25">
      <c r="A31" s="9"/>
      <c r="B31" s="6"/>
      <c r="C31" s="6"/>
      <c r="D31" s="2"/>
    </row>
    <row r="32" spans="1:13" x14ac:dyDescent="0.25">
      <c r="A32" s="4"/>
      <c r="B32" s="5"/>
      <c r="C32" s="5"/>
      <c r="D32" s="3"/>
    </row>
    <row r="33" spans="1:11" ht="30" x14ac:dyDescent="0.25">
      <c r="A33" s="4"/>
      <c r="B33" s="5"/>
      <c r="C33" s="15" t="s">
        <v>12</v>
      </c>
      <c r="D33" s="16">
        <f>-17706</f>
        <v>-17706</v>
      </c>
      <c r="E33" s="16" t="s">
        <v>13</v>
      </c>
      <c r="G33" s="21" t="s">
        <v>21</v>
      </c>
      <c r="H33" s="21"/>
      <c r="I33" s="12">
        <f>-D37+(H28*I28*(1210-850))</f>
        <v>5580052446.3301582</v>
      </c>
      <c r="J33" s="12" t="s">
        <v>15</v>
      </c>
    </row>
    <row r="34" spans="1:11" x14ac:dyDescent="0.25">
      <c r="A34" s="4"/>
      <c r="B34" s="5"/>
      <c r="C34" s="21" t="s">
        <v>26</v>
      </c>
      <c r="D34" s="22">
        <f>0.81*C20</f>
        <v>211250.97266607473</v>
      </c>
      <c r="E34" s="22" t="s">
        <v>9</v>
      </c>
      <c r="G34" s="21" t="s">
        <v>22</v>
      </c>
      <c r="H34" s="21"/>
      <c r="I34" s="20">
        <f>-D42</f>
        <v>867778713.16519117</v>
      </c>
      <c r="J34" s="12"/>
    </row>
    <row r="35" spans="1:11" x14ac:dyDescent="0.25">
      <c r="A35" s="4"/>
      <c r="B35" s="5"/>
      <c r="C35" s="21"/>
      <c r="D35" s="22"/>
      <c r="E35" s="22"/>
      <c r="G35" s="21"/>
      <c r="H35" s="21"/>
      <c r="I35" s="20"/>
      <c r="J35" s="12" t="s">
        <v>15</v>
      </c>
    </row>
    <row r="36" spans="1:11" x14ac:dyDescent="0.25">
      <c r="A36" s="4"/>
      <c r="B36" s="5"/>
      <c r="C36" s="21"/>
      <c r="D36" s="22"/>
      <c r="E36" s="22"/>
    </row>
    <row r="37" spans="1:11" x14ac:dyDescent="0.25">
      <c r="A37" s="4"/>
      <c r="B37" s="5"/>
      <c r="C37" s="17" t="s">
        <v>14</v>
      </c>
      <c r="D37" s="12">
        <f>D34*D33</f>
        <v>-3740409722.0255189</v>
      </c>
      <c r="E37" s="12" t="s">
        <v>15</v>
      </c>
      <c r="G37" s="20"/>
      <c r="H37" s="20"/>
      <c r="I37" s="20"/>
      <c r="J37" s="20"/>
      <c r="K37" s="19" t="s">
        <v>40</v>
      </c>
    </row>
    <row r="38" spans="1:11" x14ac:dyDescent="0.25">
      <c r="A38" s="4"/>
      <c r="B38" s="5"/>
      <c r="C38" s="17" t="s">
        <v>17</v>
      </c>
      <c r="D38" s="12">
        <f>1210+((-D37)/(H28*I28))</f>
        <v>1941.9614195403969</v>
      </c>
      <c r="E38" s="12" t="s">
        <v>24</v>
      </c>
      <c r="G38" s="12" t="s">
        <v>32</v>
      </c>
      <c r="H38" s="12"/>
      <c r="I38" s="12"/>
      <c r="J38" s="12"/>
      <c r="K38" s="12">
        <v>53.08</v>
      </c>
    </row>
    <row r="39" spans="1:11" x14ac:dyDescent="0.25">
      <c r="A39" s="4"/>
      <c r="B39" s="5"/>
      <c r="C39" s="17"/>
      <c r="D39" s="12">
        <f>1482.33</f>
        <v>1482.33</v>
      </c>
      <c r="E39" s="12" t="s">
        <v>25</v>
      </c>
      <c r="G39" s="12" t="s">
        <v>33</v>
      </c>
      <c r="H39" s="12"/>
      <c r="I39" s="12"/>
      <c r="J39" s="12"/>
      <c r="K39" s="12">
        <v>1192.97</v>
      </c>
    </row>
    <row r="40" spans="1:11" x14ac:dyDescent="0.25">
      <c r="A40" s="7"/>
      <c r="B40" s="8"/>
      <c r="C40" s="17"/>
      <c r="D40" s="12"/>
      <c r="E40" s="12"/>
      <c r="G40" s="20" t="s">
        <v>34</v>
      </c>
      <c r="H40" s="20"/>
      <c r="I40" s="20"/>
      <c r="J40" s="20"/>
      <c r="K40" s="12">
        <f>(I33/(K39-K38))+(I34/(K39-K38))</f>
        <v>5656538.0514745703</v>
      </c>
    </row>
    <row r="41" spans="1:11" ht="45" x14ac:dyDescent="0.25">
      <c r="C41" s="11" t="s">
        <v>27</v>
      </c>
      <c r="D41" s="12">
        <f>K23-H23</f>
        <v>49010.432235693617</v>
      </c>
      <c r="E41" s="12" t="s">
        <v>28</v>
      </c>
    </row>
    <row r="42" spans="1:11" x14ac:dyDescent="0.25">
      <c r="C42" s="17" t="s">
        <v>29</v>
      </c>
      <c r="D42" s="12">
        <f>D41*D33</f>
        <v>-867778713.16519117</v>
      </c>
      <c r="E42" s="12" t="s">
        <v>15</v>
      </c>
    </row>
    <row r="43" spans="1:11" x14ac:dyDescent="0.25">
      <c r="C43" s="17"/>
      <c r="D43" s="12"/>
      <c r="E43" s="12"/>
    </row>
    <row r="44" spans="1:11" ht="18" x14ac:dyDescent="0.35">
      <c r="C44" s="17" t="s">
        <v>31</v>
      </c>
      <c r="D44" s="12">
        <f>850+(-D42/(K28*L28))</f>
        <v>1004.9642561612814</v>
      </c>
      <c r="E44" s="12" t="s">
        <v>24</v>
      </c>
    </row>
    <row r="45" spans="1:11" x14ac:dyDescent="0.25">
      <c r="C45" s="17"/>
      <c r="D45" s="12">
        <f>544.33</f>
        <v>544.33000000000004</v>
      </c>
      <c r="E45" s="12" t="s">
        <v>25</v>
      </c>
    </row>
  </sheetData>
  <mergeCells count="9">
    <mergeCell ref="G33:H33"/>
    <mergeCell ref="G34:H35"/>
    <mergeCell ref="I2:K4"/>
    <mergeCell ref="G37:J37"/>
    <mergeCell ref="G40:J40"/>
    <mergeCell ref="I34:I35"/>
    <mergeCell ref="C34:C36"/>
    <mergeCell ref="D34:D36"/>
    <mergeCell ref="E34:E36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energy balance</vt:lpstr>
      <vt:lpstr>Sheet1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2011-02-18T22:26:05Z</dcterms:created>
  <dcterms:modified xsi:type="dcterms:W3CDTF">2011-03-02T23:10:36Z</dcterms:modified>
</cp:coreProperties>
</file>